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705" yWindow="-15" windowWidth="9510" windowHeight="12165" tabRatio="891"/>
  </bookViews>
  <sheets>
    <sheet name="Index" sheetId="1" r:id="rId1"/>
    <sheet name="01 Quarterly revenue" sheetId="2" r:id="rId2"/>
    <sheet name="02 Regional results" sheetId="34" r:id="rId3"/>
    <sheet name="03 Adjusted income statement" sheetId="4" r:id="rId4"/>
    <sheet name="04 Cash flow" sheetId="5" r:id="rId5"/>
    <sheet name="05 Half-year regional analysis" sheetId="6" r:id="rId6"/>
    <sheet name="06 Mobile customers" sheetId="8" r:id="rId7"/>
    <sheet name="07 Churn" sheetId="9" r:id="rId8"/>
    <sheet name="08 Voice usage" sheetId="10" r:id="rId9"/>
    <sheet name="09 Messaging usage" sheetId="11" r:id="rId10"/>
    <sheet name="10 Data usage" sheetId="12" r:id="rId11"/>
    <sheet name="11 ARPU" sheetId="13" r:id="rId12"/>
    <sheet name="12 Smartphones" sheetId="14" r:id="rId13"/>
    <sheet name="13 Fixed broadband customers" sheetId="15" r:id="rId14"/>
    <sheet name="14 Average forex rates" sheetId="16" r:id="rId15"/>
    <sheet name="15 Definitions" sheetId="17" r:id="rId16"/>
    <sheet name="---&gt;" sheetId="50" r:id="rId17"/>
    <sheet name="FY 14 Financial statements" sheetId="35" r:id="rId18"/>
    <sheet name="Consolidated income statement" sheetId="36" r:id="rId19"/>
    <sheet name="Consolidated SOCI" sheetId="37" r:id="rId20"/>
    <sheet name="Consolidated SFP" sheetId="38" r:id="rId21"/>
    <sheet name="Consolidated SOCE" sheetId="39" r:id="rId22"/>
    <sheet name="Consolidated cash flows" sheetId="40" r:id="rId23"/>
    <sheet name="Note 2 - Dividends" sheetId="45" r:id="rId24"/>
  </sheets>
  <definedNames>
    <definedName name="_xlnm._FilterDatabase" localSheetId="1" hidden="1">'01 Quarterly revenue'!$R$2:$R$184</definedName>
    <definedName name="_xlnm._FilterDatabase" localSheetId="2" hidden="1">'02 Regional results'!$K$2:$K$350</definedName>
    <definedName name="FY_reg_results">#REF!</definedName>
    <definedName name="_xlnm.Print_Area" localSheetId="1">'01 Quarterly revenue'!$B$1:$R$201</definedName>
    <definedName name="_xlnm.Print_Area" localSheetId="2">'02 Regional results'!$B$1:$L$370</definedName>
    <definedName name="_xlnm.Print_Area" localSheetId="3">'03 Adjusted income statement'!$B$1:$F$77</definedName>
    <definedName name="_xlnm.Print_Area" localSheetId="4">'04 Cash flow'!$A:$K</definedName>
    <definedName name="_xlnm.Print_Area" localSheetId="6">'06 Mobile customers'!$B$1:$AC$57</definedName>
    <definedName name="_xlnm.Print_Area" localSheetId="7">'07 Churn'!$A$1:$K$44</definedName>
    <definedName name="_xlnm.Print_Area" localSheetId="8">'08 Voice usage'!$B$1:$M$33</definedName>
    <definedName name="_xlnm.Print_Area" localSheetId="9">'09 Messaging usage'!$B$1:$M$34</definedName>
    <definedName name="_xlnm.Print_Area" localSheetId="10">'10 Data usage'!$B$1:$M$34</definedName>
    <definedName name="_xlnm.Print_Area" localSheetId="12">'12 Smartphones'!$B$1:$U$26</definedName>
    <definedName name="_xlnm.Print_Area" localSheetId="13">'13 Fixed broadband customers'!$B$1:$T$46</definedName>
    <definedName name="_xlnm.Print_Area" localSheetId="15">'15 Definitions'!$A$3:$B$62</definedName>
    <definedName name="_xlnm.Print_Area" localSheetId="22">'Consolidated cash flows'!$B$1:$F$49</definedName>
    <definedName name="_xlnm.Print_Area" localSheetId="18">'Consolidated income statement'!$B$1:$F$53</definedName>
    <definedName name="_xlnm.Print_Area" localSheetId="20">'Consolidated SFP'!$B$1:$F$58</definedName>
    <definedName name="_xlnm.Print_Area" localSheetId="21">'Consolidated SOCE'!$B$1:$O$32</definedName>
    <definedName name="_xlnm.Print_Area" localSheetId="19">'Consolidated SOCI'!$B$1:$E$28</definedName>
    <definedName name="_xlnm.Print_Area" localSheetId="17">'FY 14 Financial statements'!$A$1:$K$19</definedName>
    <definedName name="_xlnm.Print_Area" localSheetId="0">Index!$B$1:$P$38</definedName>
    <definedName name="_xlnm.Print_Titles" localSheetId="1">'01 Quarterly revenue'!$2:$3</definedName>
    <definedName name="_xlnm.Print_Titles" localSheetId="2">'02 Regional results'!$1:$3</definedName>
    <definedName name="regionalresults_web" localSheetId="2">'02 Regional results'!$B$1:$I$371</definedName>
    <definedName name="regionalresults_web">#REF!</definedName>
  </definedNames>
  <calcPr calcId="145621"/>
</workbook>
</file>

<file path=xl/calcChain.xml><?xml version="1.0" encoding="utf-8"?>
<calcChain xmlns="http://schemas.openxmlformats.org/spreadsheetml/2006/main">
  <c r="F28" i="4" l="1"/>
  <c r="E28" i="4"/>
  <c r="I38" i="5" l="1"/>
  <c r="L4" i="5"/>
  <c r="I5" i="5"/>
  <c r="I4" i="5"/>
  <c r="K20" i="39" l="1"/>
  <c r="O20" i="39" s="1"/>
  <c r="F52" i="4" l="1"/>
  <c r="C12" i="45" l="1"/>
  <c r="K25" i="39"/>
  <c r="O25" i="39" s="1"/>
  <c r="K24" i="39"/>
  <c r="O24" i="39" s="1"/>
  <c r="K23" i="39"/>
  <c r="O23" i="39" s="1"/>
  <c r="K22" i="39"/>
  <c r="O22" i="39" s="1"/>
  <c r="K21" i="39"/>
  <c r="O21" i="39" s="1"/>
  <c r="K19" i="39"/>
  <c r="O19" i="39" s="1"/>
  <c r="K18" i="39"/>
  <c r="O18" i="39" s="1"/>
  <c r="K17" i="39"/>
  <c r="O17" i="39" s="1"/>
  <c r="K14" i="39"/>
  <c r="O14" i="39" s="1"/>
  <c r="K13" i="39"/>
  <c r="O13" i="39" s="1"/>
  <c r="K12" i="39"/>
  <c r="O12" i="39" s="1"/>
  <c r="K11" i="39"/>
  <c r="O11" i="39" s="1"/>
  <c r="K10" i="39"/>
  <c r="O10" i="39" s="1"/>
  <c r="K9" i="39"/>
  <c r="O9" i="39" s="1"/>
  <c r="K8" i="39"/>
  <c r="O8" i="39" s="1"/>
  <c r="K7" i="39"/>
  <c r="O7" i="39" s="1"/>
  <c r="M15" i="39"/>
  <c r="M26" i="39" s="1"/>
  <c r="I15" i="39"/>
  <c r="I26" i="39" s="1"/>
  <c r="G15" i="39"/>
  <c r="G26" i="39" s="1"/>
  <c r="E15" i="39"/>
  <c r="E26" i="39" s="1"/>
  <c r="C26" i="39"/>
  <c r="C15" i="39"/>
  <c r="E28" i="37"/>
  <c r="C28" i="37"/>
  <c r="E21" i="37"/>
  <c r="E18" i="37"/>
  <c r="C21" i="37"/>
  <c r="C18" i="37"/>
  <c r="C22" i="37" l="1"/>
  <c r="C23" i="37" s="1"/>
  <c r="K15" i="39"/>
  <c r="K26" i="39" s="1"/>
  <c r="O15" i="39"/>
  <c r="O26" i="39" s="1"/>
  <c r="E22" i="37"/>
  <c r="E23" i="37" s="1"/>
  <c r="F40" i="40"/>
  <c r="F25" i="40"/>
  <c r="D40" i="40"/>
  <c r="D25" i="40"/>
  <c r="F55" i="38"/>
  <c r="F49" i="38"/>
  <c r="F39" i="38"/>
  <c r="F35" i="38"/>
  <c r="F26" i="38"/>
  <c r="F18" i="38"/>
  <c r="D55" i="38"/>
  <c r="D49" i="38"/>
  <c r="D39" i="38"/>
  <c r="D40" i="38" s="1"/>
  <c r="D35" i="38"/>
  <c r="D26" i="38"/>
  <c r="D18" i="38"/>
  <c r="D27" i="38" s="1"/>
  <c r="F41" i="36"/>
  <c r="F13" i="36"/>
  <c r="F21" i="36" s="1"/>
  <c r="F27" i="36" s="1"/>
  <c r="F31" i="36" s="1"/>
  <c r="F35" i="36" s="1"/>
  <c r="D41" i="36"/>
  <c r="D13" i="36"/>
  <c r="D21" i="36" s="1"/>
  <c r="D27" i="36" s="1"/>
  <c r="D31" i="36" s="1"/>
  <c r="D35" i="36" s="1"/>
  <c r="F11" i="4"/>
  <c r="E11" i="4"/>
  <c r="E12" i="4" s="1"/>
  <c r="E9" i="4"/>
  <c r="F9" i="4"/>
  <c r="E52" i="4"/>
  <c r="E54" i="4" s="1"/>
  <c r="E56" i="4" s="1"/>
  <c r="F54" i="4"/>
  <c r="F56" i="4" s="1"/>
  <c r="E37" i="4"/>
  <c r="E39" i="4" s="1"/>
  <c r="E45" i="4" s="1"/>
  <c r="E47" i="4" s="1"/>
  <c r="F37" i="4"/>
  <c r="F39" i="4" s="1"/>
  <c r="F45" i="4" s="1"/>
  <c r="F47" i="4" s="1"/>
  <c r="D42" i="40" l="1"/>
  <c r="D47" i="40" s="1"/>
  <c r="D56" i="38"/>
  <c r="F42" i="40"/>
  <c r="F47" i="40" s="1"/>
  <c r="F40" i="38"/>
  <c r="F56" i="38" s="1"/>
  <c r="F27" i="38"/>
  <c r="F32" i="4"/>
  <c r="E32" i="4"/>
  <c r="F68" i="4" l="1"/>
  <c r="F73" i="4" s="1"/>
  <c r="E68" i="4"/>
  <c r="E73" i="4" s="1"/>
  <c r="E14" i="4"/>
  <c r="E17" i="4" s="1"/>
  <c r="E19" i="4" s="1"/>
  <c r="F7" i="4"/>
  <c r="E7" i="4"/>
  <c r="I34" i="5"/>
  <c r="I26" i="5"/>
  <c r="L27" i="5"/>
  <c r="I31" i="5"/>
  <c r="I29" i="5"/>
  <c r="I25" i="5"/>
  <c r="I24" i="5"/>
  <c r="I19" i="5"/>
  <c r="I18" i="5"/>
  <c r="I17" i="5"/>
  <c r="I16" i="5"/>
  <c r="I12" i="5"/>
  <c r="I11" i="5"/>
  <c r="I10" i="5"/>
  <c r="H9" i="5"/>
  <c r="I3" i="5"/>
  <c r="G4" i="5"/>
  <c r="F9" i="5"/>
  <c r="F7" i="5"/>
  <c r="F14" i="5" s="1"/>
  <c r="F21" i="5" s="1"/>
  <c r="F33" i="5" s="1"/>
  <c r="F36" i="5" s="1"/>
  <c r="I9" i="5" l="1"/>
  <c r="G343" i="34"/>
  <c r="G347" i="34"/>
  <c r="G318" i="34"/>
  <c r="G285" i="34"/>
  <c r="G289" i="34" s="1"/>
  <c r="G260" i="34"/>
  <c r="G227" i="34"/>
  <c r="G231" i="34" s="1"/>
  <c r="G202" i="34"/>
  <c r="G144" i="34"/>
  <c r="G53" i="34"/>
  <c r="G57" i="34"/>
  <c r="G24" i="34"/>
  <c r="G28" i="34"/>
  <c r="AB32" i="6"/>
  <c r="AB31" i="6"/>
  <c r="R40" i="6" l="1"/>
  <c r="R37" i="6"/>
  <c r="R34" i="6"/>
  <c r="R33" i="6" s="1"/>
  <c r="R32" i="6"/>
  <c r="R31" i="6"/>
  <c r="R28" i="6"/>
  <c r="R27" i="6"/>
  <c r="R22" i="6"/>
  <c r="R19" i="6"/>
  <c r="R18" i="6" s="1"/>
  <c r="R17" i="6"/>
  <c r="R16" i="6"/>
  <c r="R15" i="6"/>
  <c r="R14" i="6"/>
  <c r="R10" i="6"/>
  <c r="R9" i="6"/>
  <c r="R8" i="6"/>
  <c r="R7" i="6"/>
  <c r="Q43" i="6"/>
  <c r="Q36" i="6"/>
  <c r="Q33" i="6"/>
  <c r="Q21" i="6"/>
  <c r="Q18" i="6"/>
  <c r="AB40" i="6"/>
  <c r="AB37" i="6"/>
  <c r="AB36" i="6" s="1"/>
  <c r="AB34" i="6"/>
  <c r="AB33" i="6" s="1"/>
  <c r="AB28" i="6"/>
  <c r="AB27" i="6"/>
  <c r="W43" i="6"/>
  <c r="W40" i="6"/>
  <c r="W37" i="6"/>
  <c r="W36" i="6" s="1"/>
  <c r="W33" i="6"/>
  <c r="W34" i="6"/>
  <c r="W28" i="6"/>
  <c r="W27" i="6"/>
  <c r="M40" i="6"/>
  <c r="M37" i="6"/>
  <c r="M36" i="6" s="1"/>
  <c r="M34" i="6"/>
  <c r="M33" i="6" s="1"/>
  <c r="M32" i="6"/>
  <c r="M31" i="6"/>
  <c r="M28" i="6"/>
  <c r="M27" i="6"/>
  <c r="H41" i="6"/>
  <c r="H40" i="6"/>
  <c r="H37" i="6"/>
  <c r="H36" i="6" s="1"/>
  <c r="H34" i="6"/>
  <c r="H33" i="6" s="1"/>
  <c r="H32" i="6"/>
  <c r="R21" i="6" l="1"/>
  <c r="R43" i="6"/>
  <c r="R36" i="6"/>
  <c r="AB43" i="6" l="1"/>
  <c r="AB19" i="6"/>
  <c r="AB18" i="6" s="1"/>
  <c r="AB10" i="6"/>
  <c r="AB9" i="6"/>
  <c r="AB8" i="6"/>
  <c r="W22" i="6"/>
  <c r="W19" i="6"/>
  <c r="W21" i="6" s="1"/>
  <c r="W10" i="6"/>
  <c r="W9" i="6"/>
  <c r="W8" i="6"/>
  <c r="W7" i="6"/>
  <c r="M17" i="6"/>
  <c r="M16" i="6"/>
  <c r="M15" i="6"/>
  <c r="M14" i="6"/>
  <c r="M22" i="6"/>
  <c r="M43" i="6" s="1"/>
  <c r="M19" i="6"/>
  <c r="M10" i="6"/>
  <c r="M9" i="6"/>
  <c r="M8" i="6"/>
  <c r="M7" i="6"/>
  <c r="H18" i="6"/>
  <c r="H17" i="6"/>
  <c r="H15" i="6"/>
  <c r="H14" i="6"/>
  <c r="H21" i="6"/>
  <c r="H22" i="6"/>
  <c r="H43" i="6" s="1"/>
  <c r="H19" i="6"/>
  <c r="M21" i="6" l="1"/>
  <c r="W18" i="6"/>
  <c r="AB21" i="6"/>
  <c r="M18" i="6"/>
  <c r="M172" i="2" l="1"/>
  <c r="J32" i="15" l="1"/>
  <c r="J17" i="15"/>
  <c r="L23" i="12"/>
  <c r="L25" i="12" s="1"/>
  <c r="L13" i="12"/>
  <c r="AC38" i="8" l="1"/>
  <c r="AC37" i="8"/>
  <c r="AC36" i="8"/>
  <c r="AC35" i="8"/>
  <c r="AC34" i="8"/>
  <c r="AC33" i="8"/>
  <c r="AC32" i="8"/>
  <c r="AC28" i="8"/>
  <c r="AC27" i="8"/>
  <c r="AC21" i="8"/>
  <c r="AC20" i="8"/>
  <c r="AC19" i="8"/>
  <c r="AC18" i="8"/>
  <c r="AC17" i="8"/>
  <c r="AC16" i="8"/>
  <c r="AC15" i="8"/>
  <c r="AC14" i="8"/>
  <c r="AC13" i="8"/>
  <c r="AC9" i="8"/>
  <c r="AC8" i="8"/>
  <c r="AC6" i="8"/>
  <c r="R30" i="15" l="1"/>
  <c r="Q30" i="15"/>
  <c r="Q32" i="15" s="1"/>
  <c r="P30" i="15"/>
  <c r="P32" i="15" s="1"/>
  <c r="O30" i="15"/>
  <c r="O32" i="15" s="1"/>
  <c r="N30" i="15"/>
  <c r="M30" i="15"/>
  <c r="M32" i="15" s="1"/>
  <c r="S29" i="15"/>
  <c r="S28" i="15"/>
  <c r="S27" i="15"/>
  <c r="S26" i="15"/>
  <c r="S25" i="15"/>
  <c r="S24" i="15"/>
  <c r="S23" i="15"/>
  <c r="S22" i="15"/>
  <c r="S30" i="15" s="1"/>
  <c r="S21" i="15"/>
  <c r="R17" i="15"/>
  <c r="R32" i="15" s="1"/>
  <c r="Q17" i="15"/>
  <c r="P17" i="15"/>
  <c r="O17" i="15"/>
  <c r="N17" i="15"/>
  <c r="N32" i="15" s="1"/>
  <c r="M17" i="15"/>
  <c r="S16" i="15"/>
  <c r="S15" i="15"/>
  <c r="S14" i="15"/>
  <c r="S13" i="15"/>
  <c r="S12" i="15"/>
  <c r="S11" i="15"/>
  <c r="S10" i="15"/>
  <c r="S9" i="15"/>
  <c r="S8" i="15"/>
  <c r="S7" i="15"/>
  <c r="S6" i="15"/>
  <c r="S5" i="15"/>
  <c r="S17" i="15" l="1"/>
  <c r="S32" i="15" s="1"/>
  <c r="K10" i="8" l="1"/>
  <c r="K22" i="8"/>
  <c r="K29" i="8"/>
  <c r="K39" i="8"/>
  <c r="AC10" i="8"/>
  <c r="AC22" i="8"/>
  <c r="AC29" i="8"/>
  <c r="AC39" i="8"/>
  <c r="AC41" i="8" l="1"/>
  <c r="K41" i="8"/>
  <c r="K24" i="8"/>
  <c r="AC24" i="8"/>
  <c r="L38" i="5"/>
  <c r="L34" i="5"/>
  <c r="L31" i="5"/>
  <c r="L30" i="5"/>
  <c r="L29" i="5"/>
  <c r="L28" i="5"/>
  <c r="L26" i="5"/>
  <c r="L25" i="5"/>
  <c r="L24" i="5"/>
  <c r="L23" i="5"/>
  <c r="L19" i="5"/>
  <c r="L18" i="5"/>
  <c r="L17" i="5"/>
  <c r="L16" i="5"/>
  <c r="L12" i="5"/>
  <c r="L11" i="5"/>
  <c r="L10" i="5"/>
  <c r="L9" i="5"/>
  <c r="L3" i="5"/>
  <c r="K34" i="5"/>
  <c r="I7" i="5"/>
  <c r="L7" i="5" s="1"/>
  <c r="R184" i="2"/>
  <c r="R114" i="2"/>
  <c r="M168" i="2"/>
  <c r="M156" i="2"/>
  <c r="M152" i="2"/>
  <c r="M140" i="2"/>
  <c r="M136" i="2"/>
  <c r="M124" i="2"/>
  <c r="M120" i="2"/>
  <c r="M97" i="2"/>
  <c r="M93" i="2"/>
  <c r="M81" i="2"/>
  <c r="M77" i="2"/>
  <c r="M65" i="2"/>
  <c r="M61" i="2"/>
  <c r="M49" i="2"/>
  <c r="M45" i="2"/>
  <c r="M33" i="2"/>
  <c r="M29" i="2"/>
  <c r="M17" i="2"/>
  <c r="M13" i="2"/>
  <c r="M7" i="2"/>
  <c r="L33" i="5" l="1"/>
  <c r="L14" i="5"/>
  <c r="L21" i="5" s="1"/>
  <c r="I14" i="5"/>
  <c r="I21" i="5" s="1"/>
  <c r="I33" i="5" s="1"/>
  <c r="I36" i="5" s="1"/>
  <c r="L36" i="5" s="1"/>
  <c r="K43" i="8"/>
  <c r="AC43" i="8"/>
  <c r="M101" i="2"/>
  <c r="M144" i="2"/>
  <c r="M176" i="2"/>
  <c r="L5" i="5"/>
  <c r="M85" i="2"/>
  <c r="M128" i="2"/>
  <c r="M160" i="2"/>
  <c r="M69" i="2"/>
  <c r="M53" i="2"/>
  <c r="M21" i="2"/>
  <c r="M37" i="2"/>
  <c r="L159" i="2"/>
  <c r="L158" i="2"/>
  <c r="L127" i="2"/>
  <c r="L126" i="2"/>
  <c r="L20" i="2"/>
  <c r="L19" i="2"/>
  <c r="M183" i="2" l="1"/>
  <c r="M113" i="2"/>
  <c r="T29" i="15"/>
  <c r="T28" i="15"/>
  <c r="T27" i="15"/>
  <c r="T26" i="15"/>
  <c r="T25" i="15"/>
  <c r="T24" i="15"/>
  <c r="T23" i="15"/>
  <c r="T22" i="15"/>
  <c r="T21" i="15"/>
  <c r="T16" i="15"/>
  <c r="T15" i="15"/>
  <c r="T14" i="15"/>
  <c r="T13" i="15"/>
  <c r="T12" i="15"/>
  <c r="T11" i="15"/>
  <c r="T10" i="15"/>
  <c r="T9" i="15"/>
  <c r="T8" i="15"/>
  <c r="T7" i="15"/>
  <c r="T6" i="15"/>
  <c r="T4" i="15"/>
  <c r="H172" i="2"/>
  <c r="H168" i="2"/>
  <c r="H156" i="2"/>
  <c r="H152" i="2"/>
  <c r="H140" i="2"/>
  <c r="H136" i="2"/>
  <c r="H124" i="2"/>
  <c r="H120" i="2"/>
  <c r="H97" i="2"/>
  <c r="H93" i="2"/>
  <c r="H81" i="2"/>
  <c r="H77" i="2"/>
  <c r="H65" i="2"/>
  <c r="H61" i="2"/>
  <c r="H49" i="2"/>
  <c r="H45" i="2"/>
  <c r="H33" i="2"/>
  <c r="H29" i="2"/>
  <c r="H17" i="2"/>
  <c r="H13" i="2"/>
  <c r="Q114" i="2"/>
  <c r="P114" i="2"/>
  <c r="O114" i="2"/>
  <c r="Q184" i="2"/>
  <c r="P184" i="2"/>
  <c r="O184" i="2"/>
  <c r="L97" i="2"/>
  <c r="L172" i="2"/>
  <c r="L168" i="2"/>
  <c r="L156" i="2"/>
  <c r="L152" i="2"/>
  <c r="L140" i="2"/>
  <c r="L136" i="2"/>
  <c r="L124" i="2"/>
  <c r="L120" i="2"/>
  <c r="L93" i="2"/>
  <c r="L81" i="2"/>
  <c r="L77" i="2"/>
  <c r="L65" i="2"/>
  <c r="L61" i="2"/>
  <c r="L49" i="2"/>
  <c r="L45" i="2"/>
  <c r="L33" i="2"/>
  <c r="L29" i="2"/>
  <c r="L17" i="2"/>
  <c r="L13" i="2"/>
  <c r="L7" i="2"/>
  <c r="G38" i="5"/>
  <c r="G34" i="5"/>
  <c r="G31" i="5"/>
  <c r="G30" i="5"/>
  <c r="G29" i="5"/>
  <c r="G28" i="5"/>
  <c r="G26" i="5"/>
  <c r="G25" i="5"/>
  <c r="G24" i="5"/>
  <c r="G23" i="5"/>
  <c r="G19" i="5"/>
  <c r="G18" i="5"/>
  <c r="G17" i="5"/>
  <c r="G16" i="5"/>
  <c r="G13" i="5"/>
  <c r="G12" i="5"/>
  <c r="G11" i="5"/>
  <c r="G10" i="5"/>
  <c r="K5" i="5"/>
  <c r="G5" i="5" s="1"/>
  <c r="G3" i="5"/>
  <c r="G349" i="34"/>
  <c r="G320" i="34"/>
  <c r="G291" i="34"/>
  <c r="G262" i="34"/>
  <c r="G233" i="34"/>
  <c r="G204" i="34"/>
  <c r="G175" i="34"/>
  <c r="G146" i="34"/>
  <c r="G117" i="34"/>
  <c r="G88" i="34"/>
  <c r="G59" i="34"/>
  <c r="G30" i="34"/>
  <c r="L22" i="10"/>
  <c r="L13" i="10"/>
  <c r="L21" i="11"/>
  <c r="L13" i="11"/>
  <c r="L25" i="11" s="1"/>
  <c r="K30" i="15"/>
  <c r="K17" i="15"/>
  <c r="G9" i="5" l="1"/>
  <c r="F12" i="4"/>
  <c r="F14" i="4" s="1"/>
  <c r="G7" i="5"/>
  <c r="L26" i="10"/>
  <c r="K32" i="15"/>
  <c r="T30" i="15"/>
  <c r="T17" i="15"/>
  <c r="H85" i="2"/>
  <c r="H37" i="2"/>
  <c r="H69" i="2"/>
  <c r="H144" i="2"/>
  <c r="L144" i="2"/>
  <c r="L176" i="2"/>
  <c r="H160" i="2"/>
  <c r="L53" i="2"/>
  <c r="H176" i="2"/>
  <c r="L128" i="2"/>
  <c r="L160" i="2"/>
  <c r="H101" i="2"/>
  <c r="H21" i="2"/>
  <c r="H53" i="2"/>
  <c r="H128" i="2"/>
  <c r="L101" i="2"/>
  <c r="L21" i="2"/>
  <c r="L37" i="2"/>
  <c r="L69" i="2"/>
  <c r="L85" i="2"/>
  <c r="F17" i="4" l="1"/>
  <c r="F19" i="4" s="1"/>
  <c r="G14" i="5"/>
  <c r="T32" i="15"/>
  <c r="H183" i="2"/>
  <c r="L183" i="2"/>
  <c r="H113" i="2"/>
  <c r="L113" i="2"/>
  <c r="G21" i="5" l="1"/>
  <c r="G33" i="5" l="1"/>
  <c r="G36" i="5" l="1"/>
</calcChain>
</file>

<file path=xl/sharedStrings.xml><?xml version="1.0" encoding="utf-8"?>
<sst xmlns="http://schemas.openxmlformats.org/spreadsheetml/2006/main" count="1482" uniqueCount="523">
  <si>
    <t>Vodafone Group Plc</t>
  </si>
  <si>
    <t>1 Quarterly revenue analysis</t>
  </si>
  <si>
    <t>2 Regional results</t>
  </si>
  <si>
    <t>3 Adjusted income statement</t>
  </si>
  <si>
    <t>4 Cash flow</t>
  </si>
  <si>
    <t>5 Half-year regional analysis</t>
  </si>
  <si>
    <t>Disclaimer</t>
  </si>
  <si>
    <r>
      <rPr>
        <sz val="10"/>
        <rFont val="Vodafone Rg"/>
        <family val="2"/>
      </rPr>
      <t>Organic % change</t>
    </r>
    <r>
      <rPr>
        <vertAlign val="superscript"/>
        <sz val="10"/>
        <rFont val="Vodafone Rg"/>
        <family val="2"/>
      </rPr>
      <t>1</t>
    </r>
  </si>
  <si>
    <t>Q1 12/13</t>
  </si>
  <si>
    <t>Q2 12/13</t>
  </si>
  <si>
    <t>Q3 12/13</t>
  </si>
  <si>
    <t>Q4 12/13</t>
  </si>
  <si>
    <t>Q1 13/14</t>
  </si>
  <si>
    <t>Q2 13/14</t>
  </si>
  <si>
    <t>£m </t>
  </si>
  <si>
    <r>
      <rPr>
        <b/>
        <sz val="10"/>
        <rFont val="Vodafone Rg"/>
        <family val="2"/>
      </rPr>
      <t>Group on a management basis</t>
    </r>
    <r>
      <rPr>
        <b/>
        <vertAlign val="superscript"/>
        <sz val="10"/>
        <rFont val="Vodafone Rg"/>
        <family val="2"/>
      </rPr>
      <t>2, 3, 4</t>
    </r>
  </si>
  <si>
    <t>Africa, Middle East and Asia Pacific</t>
  </si>
  <si>
    <t>Non-Controlled Interests, Common Functions and eliminations</t>
  </si>
  <si>
    <t>Revenue</t>
  </si>
  <si>
    <t>Mobile in-bundle revenue</t>
  </si>
  <si>
    <t>Contract</t>
  </si>
  <si>
    <t>Prepay</t>
  </si>
  <si>
    <t>Total</t>
  </si>
  <si>
    <t>Mobile out-of-bundle revenue</t>
  </si>
  <si>
    <t>Mobile incoming revenue</t>
  </si>
  <si>
    <t>Fixed line service revenue</t>
  </si>
  <si>
    <t>Other service revenue</t>
  </si>
  <si>
    <t>Of which data</t>
  </si>
  <si>
    <t>Service revenue</t>
  </si>
  <si>
    <t>Germany</t>
  </si>
  <si>
    <t>Germany service revenue</t>
  </si>
  <si>
    <t>UK</t>
  </si>
  <si>
    <t>UK service revenue</t>
  </si>
  <si>
    <t>Turkey service revenue</t>
  </si>
  <si>
    <t>Eliminations</t>
  </si>
  <si>
    <t>Italy service revenue</t>
  </si>
  <si>
    <t>Spain</t>
  </si>
  <si>
    <t>Spain service revenue</t>
  </si>
  <si>
    <t>India service revenue</t>
  </si>
  <si>
    <t>Vodacom service revenue</t>
  </si>
  <si>
    <t>Notes:</t>
  </si>
  <si>
    <t>1</t>
  </si>
  <si>
    <t>Organic growth presents performance on a comparable basis, both in terms of merger and acquisition activity and movements in foreign exchange rates. During the 2013 financial year, Indus Towers revised its accounting for energy cost recharges to operators from a net to a gross basis, to reflect revised energy supply terms. The impact of this upward revenue adjustment has been excluded from reported organic growth rates. The adjustment has no profit impact. From 1 April 2013 the Group revised its intra-group roaming charges. These changes have had an impact on reported service revenue for Group and by country and regionally since 1 April 2013. Whilst prior period reported revenue has not been restated, to ensure comparability in organic growth rates, Group, country and regional revenue in the prior financial periods have been recalculated based on the new pricing structure to form the basis for our organic calculations.</t>
  </si>
  <si>
    <t>2</t>
  </si>
  <si>
    <t>Effective from 1 April 2013 the Group changed the classification of service revenue from voice, messaging and data revenue to mobile in-bundle, mobile out-of-bundle and mobile incoming revenue. The information above is presented on this new basis.</t>
  </si>
  <si>
    <t>Revenue from network infrastructure arrangements is no longer recorded in service revenue. Comparative periods have been restated on a comparable basis.</t>
  </si>
  <si>
    <t>From 1 April 2013 Cable &amp; Wireless Worldwide plc has been integrated into the UK, Ireland and Common Functions.</t>
  </si>
  <si>
    <t>Vodacom refers to the Group's interests in Vodacom Group Limited and its subsidiaries including those located outside of South Africa.</t>
  </si>
  <si>
    <t>Included within the Other Africa, Middle East and Asia Pacific segment.</t>
  </si>
  <si>
    <t>H1 12/13</t>
  </si>
  <si>
    <t>H1 13/14</t>
  </si>
  <si>
    <t>FY 12/13</t>
  </si>
  <si>
    <t>Mobile-out-of-bundle revenue</t>
  </si>
  <si>
    <r>
      <rPr>
        <sz val="10"/>
        <rFont val="Vodafone Rg"/>
        <family val="2"/>
      </rPr>
      <t>Fixed line revenue</t>
    </r>
    <r>
      <rPr>
        <vertAlign val="superscript"/>
        <sz val="10"/>
        <rFont val="Vodafone Rg"/>
        <family val="2"/>
      </rPr>
      <t xml:space="preserve"> </t>
    </r>
  </si>
  <si>
    <t>Other revenue</t>
  </si>
  <si>
    <t>Direct costs</t>
  </si>
  <si>
    <t>Customer costs</t>
  </si>
  <si>
    <t>Operating expenses</t>
  </si>
  <si>
    <t>EBITDA</t>
  </si>
  <si>
    <t>Depreciation and amortisation:</t>
  </si>
  <si>
    <t>Acquired intangibles</t>
  </si>
  <si>
    <t>Purchased licences</t>
  </si>
  <si>
    <t>Other</t>
  </si>
  <si>
    <t>Share of result in associates</t>
  </si>
  <si>
    <t>Adjusted operating profit</t>
  </si>
  <si>
    <t>EBITDA margin</t>
  </si>
  <si>
    <t>Capital expenditure</t>
  </si>
  <si>
    <t>£m</t>
  </si>
  <si>
    <t>Depreciation and amortisation</t>
  </si>
  <si>
    <t>Discontinued operations</t>
  </si>
  <si>
    <r>
      <rPr>
        <b/>
        <sz val="10"/>
        <rFont val="Vodafone Rg"/>
        <family val="2"/>
      </rPr>
      <t>Group adjusted operating profit</t>
    </r>
    <r>
      <rPr>
        <b/>
        <vertAlign val="superscript"/>
        <sz val="10"/>
        <rFont val="Vodafone Rg"/>
        <family val="2"/>
      </rPr>
      <t xml:space="preserve"> 1</t>
    </r>
  </si>
  <si>
    <t>Adjusted investment income and financing costs</t>
  </si>
  <si>
    <t>Group adjusted profit before taxation</t>
  </si>
  <si>
    <t>Adjusted income tax expense</t>
  </si>
  <si>
    <t>Non-controlling interests</t>
  </si>
  <si>
    <t>Adjusted profit</t>
  </si>
  <si>
    <t>Weighted average number of shares - basic</t>
  </si>
  <si>
    <t>Closing number of shares outstanding</t>
  </si>
  <si>
    <t>Investment income and financing costs</t>
  </si>
  <si>
    <r>
      <rPr>
        <sz val="10"/>
        <color indexed="8"/>
        <rFont val="Vodafone Rg"/>
        <family val="2"/>
      </rPr>
      <t xml:space="preserve">     Reconciling items</t>
    </r>
    <r>
      <rPr>
        <vertAlign val="superscript"/>
        <sz val="10"/>
        <color indexed="8"/>
        <rFont val="Vodafone Rg"/>
        <family val="2"/>
      </rPr>
      <t xml:space="preserve"> 1</t>
    </r>
  </si>
  <si>
    <t xml:space="preserve">     Discontinued operations</t>
  </si>
  <si>
    <t>Statutory investment income and financing costs</t>
  </si>
  <si>
    <t>Income tax expense</t>
  </si>
  <si>
    <t>Adjusted effective tax rate</t>
  </si>
  <si>
    <t>Adjustments to derive adjusted profit before tax</t>
  </si>
  <si>
    <t>Share of associates' and joint ventures' tax</t>
  </si>
  <si>
    <t>Tax on adjustments to derive adjusted profit before tax</t>
  </si>
  <si>
    <t>Total tax (credit)/expense</t>
  </si>
  <si>
    <t>Adjusted EPS calculation</t>
  </si>
  <si>
    <t>Adjusted profit for EPS calculation</t>
  </si>
  <si>
    <t>Adjustments:</t>
  </si>
  <si>
    <t>Other income and expense</t>
  </si>
  <si>
    <r>
      <rPr>
        <sz val="10"/>
        <rFont val="Vodafone Rg"/>
        <family val="2"/>
      </rPr>
      <t>Non-operating income and expense</t>
    </r>
    <r>
      <rPr>
        <vertAlign val="superscript"/>
        <sz val="10"/>
        <rFont val="Vodafone Rg"/>
        <family val="2"/>
      </rPr>
      <t>1</t>
    </r>
  </si>
  <si>
    <r>
      <rPr>
        <sz val="10"/>
        <rFont val="Vodafone Rg"/>
        <family val="2"/>
      </rPr>
      <t>Investment income and financing costs</t>
    </r>
    <r>
      <rPr>
        <vertAlign val="superscript"/>
        <sz val="10"/>
        <rFont val="Vodafone Rg"/>
        <family val="2"/>
      </rPr>
      <t>1</t>
    </r>
  </si>
  <si>
    <r>
      <rPr>
        <sz val="10"/>
        <rFont val="Vodafone Rg"/>
        <family val="2"/>
      </rPr>
      <t>Taxation</t>
    </r>
    <r>
      <rPr>
        <vertAlign val="superscript"/>
        <sz val="10"/>
        <rFont val="Vodafone Rg"/>
        <family val="2"/>
      </rPr>
      <t>1</t>
    </r>
  </si>
  <si>
    <r>
      <rPr>
        <sz val="10"/>
        <rFont val="Vodafone Rg"/>
        <family val="2"/>
      </rPr>
      <t>Non-controlling interests</t>
    </r>
    <r>
      <rPr>
        <vertAlign val="superscript"/>
        <sz val="10"/>
        <rFont val="Vodafone Rg"/>
        <family val="2"/>
      </rPr>
      <t>1</t>
    </r>
  </si>
  <si>
    <t>Profit/(loss) attributable to equity shareholders</t>
  </si>
  <si>
    <t>Note:</t>
  </si>
  <si>
    <t>FY 11/12</t>
  </si>
  <si>
    <t>Working capital</t>
  </si>
  <si>
    <t>Cash generated by operations</t>
  </si>
  <si>
    <r>
      <rPr>
        <sz val="10"/>
        <rFont val="Vodafone Rg"/>
        <family val="2"/>
      </rPr>
      <t>Cash capital expenditure</t>
    </r>
    <r>
      <rPr>
        <vertAlign val="superscript"/>
        <sz val="10"/>
        <rFont val="Vodafone Rg"/>
        <family val="2"/>
      </rPr>
      <t>1</t>
    </r>
  </si>
  <si>
    <t>Cash expenditure</t>
  </si>
  <si>
    <t>Working capital movement in respect of capital expenditure</t>
  </si>
  <si>
    <t>Disposal of property, plant and equipment</t>
  </si>
  <si>
    <t>Operating free cash flow</t>
  </si>
  <si>
    <t>Taxation</t>
  </si>
  <si>
    <r>
      <rPr>
        <sz val="10"/>
        <rFont val="Vodafone Rg"/>
        <family val="2"/>
      </rPr>
      <t>Dividends received from associates and investments</t>
    </r>
    <r>
      <rPr>
        <vertAlign val="superscript"/>
        <sz val="10"/>
        <rFont val="Vodafone Rg"/>
        <family val="2"/>
      </rPr>
      <t>2</t>
    </r>
  </si>
  <si>
    <t>Dividends paid to non-controlling shareholders in subsidiaries</t>
  </si>
  <si>
    <t>Interest received and paid</t>
  </si>
  <si>
    <t>Free cash flow</t>
  </si>
  <si>
    <r>
      <rPr>
        <sz val="10"/>
        <rFont val="Vodafone Rg"/>
        <family val="2"/>
      </rPr>
      <t>Tax settlement</t>
    </r>
    <r>
      <rPr>
        <vertAlign val="superscript"/>
        <sz val="10"/>
        <rFont val="Vodafone Rg"/>
        <family val="2"/>
      </rPr>
      <t>2</t>
    </r>
  </si>
  <si>
    <t>Licence and spectrum payments</t>
  </si>
  <si>
    <r>
      <rPr>
        <sz val="10"/>
        <rFont val="Vodafone Rg"/>
        <family val="2"/>
      </rPr>
      <t>Acquisitions and disposals</t>
    </r>
    <r>
      <rPr>
        <vertAlign val="superscript"/>
        <sz val="10"/>
        <rFont val="Vodafone Rg"/>
        <family val="2"/>
      </rPr>
      <t>2</t>
    </r>
  </si>
  <si>
    <t>Equity dividends paid</t>
  </si>
  <si>
    <t>Purchase of treasury shares</t>
  </si>
  <si>
    <t>Foreign exchange</t>
  </si>
  <si>
    <t>Income dividend from Verizon Wireless</t>
  </si>
  <si>
    <r>
      <rPr>
        <sz val="10"/>
        <rFont val="Vodafone Rg"/>
        <family val="2"/>
      </rPr>
      <t>Other</t>
    </r>
    <r>
      <rPr>
        <vertAlign val="superscript"/>
        <sz val="10"/>
        <rFont val="Vodafone Rg"/>
        <family val="2"/>
      </rPr>
      <t>2</t>
    </r>
  </si>
  <si>
    <t>Net debt decrease/(increase)</t>
  </si>
  <si>
    <t>Opening net debt</t>
  </si>
  <si>
    <t>Closing net debt</t>
  </si>
  <si>
    <r>
      <rPr>
        <sz val="10"/>
        <rFont val="Vodafone Rg"/>
        <family val="2"/>
      </rPr>
      <t>Free cash flow on a management basis</t>
    </r>
    <r>
      <rPr>
        <vertAlign val="superscript"/>
        <sz val="10"/>
        <rFont val="Vodafone Rg"/>
        <family val="2"/>
      </rPr>
      <t>3</t>
    </r>
  </si>
  <si>
    <t>Cash capital expenditure comprises the purchase of property, plant and equipment and intangible assets, other than licence and spectrum payments, during the year.</t>
  </si>
  <si>
    <t>3</t>
  </si>
  <si>
    <t>Capitalised fixed asset additions</t>
  </si>
  <si>
    <t xml:space="preserve">   Netherlands</t>
  </si>
  <si>
    <t xml:space="preserve">   Turkey</t>
  </si>
  <si>
    <t xml:space="preserve">   Romania</t>
  </si>
  <si>
    <t>Intra-region eliminations</t>
  </si>
  <si>
    <t xml:space="preserve">   Greece</t>
  </si>
  <si>
    <t xml:space="preserve">   Portugal</t>
  </si>
  <si>
    <t>India</t>
  </si>
  <si>
    <t>Other AMAP</t>
  </si>
  <si>
    <t xml:space="preserve">   Egypt</t>
  </si>
  <si>
    <t>Common Functions and Non-Controlled Interests</t>
  </si>
  <si>
    <t>Inter-region eliminations</t>
  </si>
  <si>
    <t>Group</t>
  </si>
  <si>
    <t>On 27 July 2012 the Group acquired the entire share capital of Cable &amp; Wireless Worldwide plc ('CWW'). From 1 April 2013 CWW was integrated into the UK, Ireland and Common Functions.</t>
  </si>
  <si>
    <t>4</t>
  </si>
  <si>
    <t>5</t>
  </si>
  <si>
    <t>Non-Controlled Interests and Common Functions</t>
  </si>
  <si>
    <t>Closing customers (in thousands)</t>
  </si>
  <si>
    <r>
      <rPr>
        <b/>
        <sz val="10"/>
        <rFont val="Vodafone Rg"/>
        <family val="2"/>
      </rPr>
      <t>Prepaid percentage</t>
    </r>
    <r>
      <rPr>
        <b/>
        <vertAlign val="superscript"/>
        <sz val="10"/>
        <rFont val="Vodafone Rg"/>
        <family val="2"/>
      </rPr>
      <t>1</t>
    </r>
  </si>
  <si>
    <t>Net additions (in thousands)</t>
  </si>
  <si>
    <r>
      <rPr>
        <b/>
        <sz val="10"/>
        <rFont val="Vodafone Rg"/>
        <family val="2"/>
      </rPr>
      <t>Mobile customers</t>
    </r>
    <r>
      <rPr>
        <b/>
        <vertAlign val="superscript"/>
        <sz val="10"/>
        <rFont val="Vodafone Rg"/>
        <family val="2"/>
      </rPr>
      <t>2</t>
    </r>
  </si>
  <si>
    <r>
      <rPr>
        <sz val="10"/>
        <rFont val="Vodafone Rg"/>
        <family val="2"/>
      </rPr>
      <t>Germany</t>
    </r>
    <r>
      <rPr>
        <vertAlign val="superscript"/>
        <sz val="10"/>
        <rFont val="Vodafone Rg"/>
        <family val="2"/>
      </rPr>
      <t>3</t>
    </r>
  </si>
  <si>
    <t>Netherlands</t>
  </si>
  <si>
    <t>Turkey</t>
  </si>
  <si>
    <t>Hungary</t>
  </si>
  <si>
    <t>Ireland</t>
  </si>
  <si>
    <t>Romania</t>
  </si>
  <si>
    <t>Greece</t>
  </si>
  <si>
    <t>Portugal</t>
  </si>
  <si>
    <t>Albania</t>
  </si>
  <si>
    <t>Malta</t>
  </si>
  <si>
    <t>Other Africa, Middle East and Asia Pacific</t>
  </si>
  <si>
    <t>Egypt</t>
  </si>
  <si>
    <t>Ghana</t>
  </si>
  <si>
    <t>New Zealand</t>
  </si>
  <si>
    <t>Prepaid customer percentages are calculated on a venture basis.</t>
  </si>
  <si>
    <t>The quarter ended 30 September 2013 included 335,000 of other movements relating to the restatement of the customer base.</t>
  </si>
  <si>
    <t>The quarter ended 31 March 2013 included 331,000 of other movements relating to a change in the disconnection policy.</t>
  </si>
  <si>
    <t>6</t>
  </si>
  <si>
    <t>Vodacom refers to the Group’s interests in Vodacom Group Limited and its subsidiaries including those located outside of South Africa.</t>
  </si>
  <si>
    <t>7</t>
  </si>
  <si>
    <t>The quarter ended 30 June 2012 included 4,507,000 disconnections related to a change in disconnection policy from seven months to 90 days in the operations outside of South Africa and the quarter ended 30 June 2013 included 1,159,000 of other movements relating to the restatement of the customer base.</t>
  </si>
  <si>
    <t>8</t>
  </si>
  <si>
    <t>The quarter ended 30 September 2013 included 121,000 of other movements relating to the restatement of the customer base.</t>
  </si>
  <si>
    <t>9</t>
  </si>
  <si>
    <t>Prepaid</t>
  </si>
  <si>
    <t xml:space="preserve">Italy </t>
  </si>
  <si>
    <r>
      <rPr>
        <b/>
        <sz val="10"/>
        <rFont val="Vodafone Rg"/>
        <family val="2"/>
      </rPr>
      <t>Vodacom</t>
    </r>
    <r>
      <rPr>
        <b/>
        <vertAlign val="superscript"/>
        <sz val="8"/>
        <rFont val="Vodafone Rg"/>
        <family val="2"/>
      </rPr>
      <t>1</t>
    </r>
  </si>
  <si>
    <t>Vodacom refers to the Group’s interests in Vodacom Group Limited and its subsidiaries, including those located outside of South Africa.</t>
  </si>
  <si>
    <t>Total voice minutes information presented in the table above represents network minutes, or the volume of minutes handled by each local network, and includes incoming, outgoing and visitor calls. The voice minutes information in respect of Germany and New Zealand reflects billed minutes under which calls are rounded up to the nearest minute under certain tariffs.</t>
  </si>
  <si>
    <r>
      <rPr>
        <b/>
        <sz val="10"/>
        <rFont val="Vodafone Rg"/>
        <family val="2"/>
      </rPr>
      <t>Messaging usage (in millions)</t>
    </r>
    <r>
      <rPr>
        <b/>
        <vertAlign val="superscript"/>
        <sz val="8"/>
        <rFont val="Vodafone Rg"/>
        <family val="2"/>
      </rPr>
      <t>1, 2</t>
    </r>
  </si>
  <si>
    <t xml:space="preserve">Messaging volumes represent total SMS and MMS message volumes including outgoing, incoming, wholesale and roaming. </t>
  </si>
  <si>
    <t>Vodacom includes wholesale messaging volumes from 1 June 2012.</t>
  </si>
  <si>
    <t>Data volumes represent the sum of downlink traffic and uplink traffic, all APNs (for example web, wap, corporate APNs, MMS), femto traffic (if applicable), inbound roamers and MVNOs excluding data resulting from voice over LTE traffic.</t>
  </si>
  <si>
    <t>The conversion methodology used is 1 megabyte (MB) = 1000 kilobytes (kB).</t>
  </si>
  <si>
    <t>Germany (EUR)</t>
  </si>
  <si>
    <t>UK (GBP)</t>
  </si>
  <si>
    <t>Netherlands (EUR)</t>
  </si>
  <si>
    <t>Turkey (TRY)</t>
  </si>
  <si>
    <t>Romania (EUR)</t>
  </si>
  <si>
    <t>Italy (EUR)</t>
  </si>
  <si>
    <t>Spain (EUR)</t>
  </si>
  <si>
    <t>Greece (EUR)</t>
  </si>
  <si>
    <t>Portugal (EUR)</t>
  </si>
  <si>
    <t>India (INR)</t>
  </si>
  <si>
    <t>Egypt (EGP)</t>
  </si>
  <si>
    <t>The number of smartphone devices divided by the number of registered SIMs, excluding data only SIMs.</t>
  </si>
  <si>
    <t>Number of customers with a smartphone which has an integrated data tariff or data add on or data usage entitlement as part of a committed fee.</t>
  </si>
  <si>
    <t>Czech Republic</t>
  </si>
  <si>
    <t>Australia</t>
  </si>
  <si>
    <t>Fiji</t>
  </si>
  <si>
    <t>Qatar</t>
  </si>
  <si>
    <t>On 31 October 2012 the Group acquired 100% interest in TelstraClear Limited.</t>
  </si>
  <si>
    <t>FY 11/12, FY 12/13 and FY 13/14 actual rates</t>
  </si>
  <si>
    <t>FY 13/14</t>
  </si>
  <si>
    <t>H1</t>
  </si>
  <si>
    <t>H2</t>
  </si>
  <si>
    <t>FY</t>
  </si>
  <si>
    <t>Euro</t>
  </si>
  <si>
    <t>United States dollar</t>
  </si>
  <si>
    <t>Egyptian pound</t>
  </si>
  <si>
    <t>Indian rupee</t>
  </si>
  <si>
    <t>Turkish lira</t>
  </si>
  <si>
    <t>South African rand</t>
  </si>
  <si>
    <t>Q1</t>
  </si>
  <si>
    <t>Q2</t>
  </si>
  <si>
    <t>Q3</t>
  </si>
  <si>
    <t>Q4</t>
  </si>
  <si>
    <t>FY 12/13 and FY 13/14 guidance rates</t>
  </si>
  <si>
    <t>Definition of terms</t>
  </si>
  <si>
    <t>Acquired intangibles amortisation</t>
  </si>
  <si>
    <t>Amortisation relating to intangible assets identified and recognised separately in respect of a business combination in excess of the intangible assets recognised by the acquiree prior to acquisition.</t>
  </si>
  <si>
    <t>Acquisition costs</t>
  </si>
  <si>
    <t xml:space="preserve">The total of connection fees, trade commissions and equipment costs relating to new customer connections. </t>
  </si>
  <si>
    <t>ARPU</t>
  </si>
  <si>
    <t>Mobile in-bundle customer revenue, mobile out-of-bundle customer revenue and mobile incoming revenue divided by average customers.</t>
  </si>
  <si>
    <t>Capitalised expenditure</t>
  </si>
  <si>
    <t xml:space="preserve">This measure includes the aggregate of capitalised property, plant and equipment additions and capitalised software costs.  </t>
  </si>
  <si>
    <t>Churn</t>
  </si>
  <si>
    <t>Annualised total gross customer disconnections in the period divided by the average total customers in the period.</t>
  </si>
  <si>
    <t xml:space="preserve">Controlled and jointly controlled </t>
  </si>
  <si>
    <t xml:space="preserve">Controlled and jointly controlled measures include 100% for the Group's mobile operating subsidiaries and the Group's proportionate share for joint ventures. </t>
  </si>
  <si>
    <t>Customer costs include acquisition costs, being the total of connection fees, trade commissions and equipment costs relating to new customer connections, and retention costs, being the total of trade commissions, loyalty scheme and equipment costs relating to customer retention and upgrades, as well as expenses related to ongoing commissions.</t>
  </si>
  <si>
    <t>Data attachment</t>
  </si>
  <si>
    <t>Depreciation and other amortisation</t>
  </si>
  <si>
    <t xml:space="preserve">This measure includes the profit or loss on disposal of property, plant and equipment and computer software.  </t>
  </si>
  <si>
    <t>Direct costs include interconnect costs and other direct costs of providing services.</t>
  </si>
  <si>
    <t>Interconnect costs</t>
  </si>
  <si>
    <t>A charge paid by Vodafone to other fixed line or mobile operators when a Vodafone customer calls a customer connected to a different network.</t>
  </si>
  <si>
    <t>Mobile customer</t>
  </si>
  <si>
    <t>A mobile customer is defined as a subscriber identity module ('SIM'), or in territories where SIMs do not exist, a unique mobile telephone number which has access to the network for any purpose, including data only usage, except telemetric applications. Telemetric applications include, but  are not limited to, asset and equipment tracking, mobile payment and billing functionality, e.g. vending machines and meter readings, and include voice enabled customers whose usage is limited to a central service operation, e.g. emergency response applications in vehicles.</t>
  </si>
  <si>
    <t>Represents revenue from bundles that include a specified number of minutes, messages or megabytes of data that can be used for no additional charge, with some expectation of recurrence.</t>
  </si>
  <si>
    <r>
      <rPr>
        <sz val="10"/>
        <rFont val="Vodafone Rg"/>
        <family val="2"/>
      </rPr>
      <t xml:space="preserve">Mobile in-bundle revenue </t>
    </r>
    <r>
      <rPr>
        <sz val="10"/>
        <rFont val="Calibri"/>
        <family val="2"/>
      </rPr>
      <t>–</t>
    </r>
    <r>
      <rPr>
        <sz val="10"/>
        <rFont val="Vodafone Rg"/>
        <family val="2"/>
      </rPr>
      <t xml:space="preserve"> Contract</t>
    </r>
  </si>
  <si>
    <t>Revenue from all bundles and add-ons lasting 30 days or more.</t>
  </si>
  <si>
    <t>Mobile in-bundle revenue – Prepay</t>
  </si>
  <si>
    <t>Revenue from bundles lasting seven days or more.</t>
  </si>
  <si>
    <t>Comprises revenue from termination rates for voice and messaging to Vodafone customers.</t>
  </si>
  <si>
    <t>Net debt</t>
  </si>
  <si>
    <t>Long-term borrowings, short-term borrowings and mark-to-market adjustments on financing instruments less cash and cash equivalents.</t>
  </si>
  <si>
    <t>Operating costs</t>
  </si>
  <si>
    <t>Operating expenses plus customer costs other than acquisition and retention costs.</t>
  </si>
  <si>
    <t>Cash generated from operations after cash payments for capital expenditure (excludes capital licence and spectrum payments) and cash receipts from the disposal of intangible assets and property, plant and equipment.</t>
  </si>
  <si>
    <t xml:space="preserve">Organic growth </t>
  </si>
  <si>
    <t>The percentage movements in organic growth are presented to reflect operating performance on a comparable basis, both in terms of merger and acquisition activity and movements in foreign exchange rates. During the 2013 financial year, Indus Towers (the Group's joint venture reported within the India segment) revised its accounting for energy cost recharges to operators from a net to a gross basis, to reflect revised energy supply terms. The impact of this upward revenue adjustment has been excluded from reported organic growth rates. The adjustment has no profit impact. From 1 April 2013 the Group revised its intra-group roaming charges. These changes have had an impact on reported service revenue for the Group and by country and regionally since 1 April 2013. Whilst prior period reported revenue has not been restated, to ensure comparability in organic growth rates, Group, country and regional revenue in the prior financial periods have been recalculated based on the new pricing structure to form the basis for our organic calculations.</t>
  </si>
  <si>
    <t>Out-of-bundle</t>
  </si>
  <si>
    <t>Revenue from minutes, messages or megabytes of data which are in excess of the amount included in customer bundles.</t>
  </si>
  <si>
    <t>Purchased licence amortisation</t>
  </si>
  <si>
    <t>Amortisation relating to capitalised licence and spectrum fees purchased directly by the Group or existing on recognition through business combination accounting and such fees recognised by an acquiree prior to acquisition.</t>
  </si>
  <si>
    <t>Retention costs</t>
  </si>
  <si>
    <t xml:space="preserve">The total of trade commissions, loyalty scheme and equipment costs relating to customer retention and upgrade.  </t>
  </si>
  <si>
    <t>Service revenue comprises all revenue related to the provision of ongoing services including, but not limited to, monthly access charges, airtime usage, roaming, incoming and outgoing network usage by non-Vodafone customers and interconnect charges for incoming calls.</t>
  </si>
  <si>
    <t>SIMs</t>
  </si>
  <si>
    <t>See "mobile customer".</t>
  </si>
  <si>
    <t>Smartphone penetration</t>
  </si>
  <si>
    <t>Share of result in associates and joint ventures</t>
  </si>
  <si>
    <t xml:space="preserve">The sum of the regional amounts may not be equal to Group totals due to Non-Controlled Interests and Common Functions and intercompany eliminations.                </t>
  </si>
  <si>
    <t>Effective from 1 April 2013 the Group changed the classification of service revenue from voice, messaging and data revenue to mobile in-bundle, mobile out-of-bundle and mobile incoming revenue. The information above is presented on the new basis.</t>
  </si>
  <si>
    <t xml:space="preserve">Organic growth presents performance on a comparable basis, both in terms of merger and acquisition activity and foreign exchange rates. During the 2013 financial year Indus Towers (the Group's joint venture reported within the India segment) revised its accounting for energy cost recharges to operators from a net to a gross basis, to reflect revised energy supply terms. The impact of this upward revenue adjustment has been excluded from reported organic growth rates. The adjustment has no profit impact. From 1 April 2013 the Group revised its intra-group roaming charges. These changes have had an impact on reported service revenue for the Group and by country and regionally since 1 April 2013. Whilst prior period reported revenue has not been restated, to ensure comparability in organic growth rates, Group, country and regional revenue in the prior financial periods have been recalculated based on the new pricing structure to form the basis for our organic calculations. </t>
  </si>
  <si>
    <r>
      <t>Organic % change</t>
    </r>
    <r>
      <rPr>
        <vertAlign val="superscript"/>
        <sz val="10"/>
        <rFont val="Vodafone Rg"/>
        <family val="2"/>
      </rPr>
      <t>2</t>
    </r>
  </si>
  <si>
    <t>Group revenue on a statutory basis</t>
  </si>
  <si>
    <t>Group EBITDA on a statutory basis</t>
  </si>
  <si>
    <t>6 Mobile customers</t>
  </si>
  <si>
    <t>7 Churn</t>
  </si>
  <si>
    <t>8 Voice usage</t>
  </si>
  <si>
    <t>9 Messaging usage</t>
  </si>
  <si>
    <t>10 Data usage</t>
  </si>
  <si>
    <t>11 ARPU</t>
  </si>
  <si>
    <t>12 Smartphones</t>
  </si>
  <si>
    <t>13 Fixed broadband customers</t>
  </si>
  <si>
    <t>14 Average foreign exchange rates</t>
  </si>
  <si>
    <t>15 Definition of terms</t>
  </si>
  <si>
    <t>16 Financial statements</t>
  </si>
  <si>
    <r>
      <t>Africa, Middle East and Asia Pacific ('AMAP')</t>
    </r>
    <r>
      <rPr>
        <b/>
        <vertAlign val="superscript"/>
        <sz val="10"/>
        <rFont val="Vodafone Rg"/>
        <family val="2"/>
      </rPr>
      <t>1</t>
    </r>
  </si>
  <si>
    <r>
      <t xml:space="preserve">   Cable &amp; Wireless Worldwide</t>
    </r>
    <r>
      <rPr>
        <vertAlign val="superscript"/>
        <sz val="10"/>
        <rFont val="Vodafone Rg"/>
        <family val="2"/>
      </rPr>
      <t>2</t>
    </r>
  </si>
  <si>
    <r>
      <t>Smartphone penetration</t>
    </r>
    <r>
      <rPr>
        <b/>
        <vertAlign val="superscript"/>
        <sz val="10"/>
        <rFont val="Vodafone Rg"/>
        <family val="2"/>
      </rPr>
      <t>1</t>
    </r>
  </si>
  <si>
    <r>
      <t>Data attachment</t>
    </r>
    <r>
      <rPr>
        <b/>
        <vertAlign val="superscript"/>
        <sz val="10"/>
        <rFont val="Vodafone Rg"/>
        <family val="2"/>
      </rPr>
      <t>2</t>
    </r>
  </si>
  <si>
    <r>
      <t>Italy</t>
    </r>
    <r>
      <rPr>
        <vertAlign val="superscript"/>
        <sz val="10"/>
        <rFont val="Vodafone Rg"/>
        <family val="2"/>
      </rPr>
      <t>3</t>
    </r>
  </si>
  <si>
    <r>
      <t xml:space="preserve">   Other</t>
    </r>
    <r>
      <rPr>
        <vertAlign val="superscript"/>
        <sz val="10"/>
        <rFont val="Vodafone Rg"/>
        <family val="2"/>
      </rPr>
      <t>4</t>
    </r>
  </si>
  <si>
    <r>
      <t>Vodacom</t>
    </r>
    <r>
      <rPr>
        <vertAlign val="superscript"/>
        <sz val="10"/>
        <rFont val="Vodafone Rg"/>
        <family val="2"/>
      </rPr>
      <t>5</t>
    </r>
  </si>
  <si>
    <r>
      <t>EBITDA</t>
    </r>
    <r>
      <rPr>
        <vertAlign val="superscript"/>
        <sz val="10"/>
        <rFont val="Vodafone Rg"/>
        <family val="2"/>
      </rPr>
      <t>3</t>
    </r>
  </si>
  <si>
    <r>
      <t>Adjusted operating profit/(loss)</t>
    </r>
    <r>
      <rPr>
        <vertAlign val="superscript"/>
        <sz val="10"/>
        <rFont val="Vodafone Rg"/>
        <family val="2"/>
      </rPr>
      <t>3</t>
    </r>
  </si>
  <si>
    <r>
      <t>Regional results</t>
    </r>
    <r>
      <rPr>
        <b/>
        <vertAlign val="superscript"/>
        <sz val="14"/>
        <rFont val="Vodafone Rg"/>
        <family val="2"/>
      </rPr>
      <t>1, 2</t>
    </r>
  </si>
  <si>
    <r>
      <t>Other</t>
    </r>
    <r>
      <rPr>
        <vertAlign val="superscript"/>
        <sz val="10"/>
        <rFont val="Vodafone Rg"/>
        <family val="2"/>
      </rPr>
      <t>2</t>
    </r>
  </si>
  <si>
    <r>
      <t>Closing customers (in thousands)</t>
    </r>
    <r>
      <rPr>
        <b/>
        <vertAlign val="superscript"/>
        <sz val="10"/>
        <rFont val="Vodafone Rg"/>
        <family val="2"/>
      </rPr>
      <t>1</t>
    </r>
  </si>
  <si>
    <r>
      <t>Net additions (in thousands)</t>
    </r>
    <r>
      <rPr>
        <b/>
        <vertAlign val="superscript"/>
        <sz val="10"/>
        <rFont val="Vodafone Rg"/>
        <family val="2"/>
      </rPr>
      <t>1</t>
    </r>
  </si>
  <si>
    <r>
      <t>Data usage (in millions)</t>
    </r>
    <r>
      <rPr>
        <b/>
        <vertAlign val="superscript"/>
        <sz val="8"/>
        <rFont val="Vodafone Rg"/>
        <family val="2"/>
      </rPr>
      <t>1, 2</t>
    </r>
  </si>
  <si>
    <r>
      <t>Vodacom</t>
    </r>
    <r>
      <rPr>
        <vertAlign val="superscript"/>
        <sz val="10"/>
        <rFont val="Vodafone Rg"/>
        <family val="2"/>
      </rPr>
      <t>4</t>
    </r>
  </si>
  <si>
    <t>Europe</t>
  </si>
  <si>
    <t>Italy</t>
  </si>
  <si>
    <r>
      <t>Vodacom (ZAR)</t>
    </r>
    <r>
      <rPr>
        <b/>
        <vertAlign val="superscript"/>
        <sz val="10"/>
        <rFont val="Vodafone Rg"/>
        <family val="2"/>
      </rPr>
      <t>1</t>
    </r>
  </si>
  <si>
    <t>Average revenue per user</t>
  </si>
  <si>
    <t>Q3 13/14</t>
  </si>
  <si>
    <t>Other Europe</t>
  </si>
  <si>
    <t xml:space="preserve">Other </t>
  </si>
  <si>
    <t>H2 12/13</t>
  </si>
  <si>
    <t>Africa, Middle East and Asia Pacific on a management basis</t>
  </si>
  <si>
    <r>
      <t>Group on a management basis</t>
    </r>
    <r>
      <rPr>
        <b/>
        <vertAlign val="superscript"/>
        <sz val="10"/>
        <rFont val="Vodafone Rg"/>
        <family val="2"/>
      </rPr>
      <t>1, 3, 4, 5, 6, 7</t>
    </r>
  </si>
  <si>
    <t>Included within the Other Europe segment.</t>
  </si>
  <si>
    <t>Results presented on a management basis. Italy and Europe include Vodafone Italy, the Group's joint venture in the Europe region, on a proportionate basis. AMAP includes Vodafone Hutchison Australia, Vodafone Fiji and Indus Towers, the Group's joint ventures in AMAP, on a proportionate basis. Group includes Vodafone Italy, Vodafone Hutchison Australia, Vodafone Fiji and Indus Towers on a proportionate basis and the results of VZW. The six months ended 30 September 2013 includes five months results of VZW, until its sale was announced.</t>
  </si>
  <si>
    <t>Index of sheets:</t>
  </si>
  <si>
    <t>Consolidated income statement</t>
  </si>
  <si>
    <t>Consolidated statement of comprehensive income</t>
  </si>
  <si>
    <t>Consolidated statement of financial position</t>
  </si>
  <si>
    <t>Consolidated statement of changes in equity</t>
  </si>
  <si>
    <t xml:space="preserve">Consolidated statement of cash flows </t>
  </si>
  <si>
    <t>Continuing operations</t>
  </si>
  <si>
    <t>Cost of sales</t>
  </si>
  <si>
    <t>Gross profit</t>
  </si>
  <si>
    <t>Selling and distribution expenses</t>
  </si>
  <si>
    <t>Administrative expenses</t>
  </si>
  <si>
    <t>Impairment loss</t>
  </si>
  <si>
    <t>Non-operating income and expense</t>
  </si>
  <si>
    <t>Investment income</t>
  </si>
  <si>
    <t>Financing costs</t>
  </si>
  <si>
    <t>Income tax credit/(expense)</t>
  </si>
  <si>
    <t>Profit/(loss) for the financial period from continuing operations</t>
  </si>
  <si>
    <t>Profit for the financial period from discontinued operations</t>
  </si>
  <si>
    <t>Attributable to:</t>
  </si>
  <si>
    <t>– Equity shareholders</t>
  </si>
  <si>
    <t>– Non-controlling interests</t>
  </si>
  <si>
    <t>Earnings/(loss) per share</t>
  </si>
  <si>
    <t>From continuing operations:</t>
  </si>
  <si>
    <t>– Basic</t>
  </si>
  <si>
    <t>– Diluted</t>
  </si>
  <si>
    <t>From continuing and discontinued operations:</t>
  </si>
  <si>
    <t>Losses on revaluation of available-for-sale investments, net of tax</t>
  </si>
  <si>
    <t>Foreign exchange translation differences, net of tax</t>
  </si>
  <si>
    <t>Other, net of tax</t>
  </si>
  <si>
    <t>Restated</t>
  </si>
  <si>
    <t>31 March</t>
  </si>
  <si>
    <t>Non-current assets</t>
  </si>
  <si>
    <t>Goodwill</t>
  </si>
  <si>
    <t>Other intangible assets</t>
  </si>
  <si>
    <t>Property, plant and equipment</t>
  </si>
  <si>
    <t>Other investments</t>
  </si>
  <si>
    <t>Deferred tax assets</t>
  </si>
  <si>
    <t>Post employment benefits</t>
  </si>
  <si>
    <t>Trade and other receivables</t>
  </si>
  <si>
    <t>Current assets</t>
  </si>
  <si>
    <t>Inventory</t>
  </si>
  <si>
    <t>Taxation recoverable</t>
  </si>
  <si>
    <t>Cash and cash equivalents</t>
  </si>
  <si>
    <t>Total assets</t>
  </si>
  <si>
    <t>Equity</t>
  </si>
  <si>
    <t>Called up share capital</t>
  </si>
  <si>
    <t>Additional paid-in capital</t>
  </si>
  <si>
    <t>Treasury shares</t>
  </si>
  <si>
    <t>Accumulated other comprehensive income</t>
  </si>
  <si>
    <t>Total equity shareholders’ funds</t>
  </si>
  <si>
    <t>Put options over non-controlling interests</t>
  </si>
  <si>
    <t>Total non-controlling interests</t>
  </si>
  <si>
    <t>Total equity</t>
  </si>
  <si>
    <t>Non-current liabilities</t>
  </si>
  <si>
    <t>Long-term borrowings</t>
  </si>
  <si>
    <t>Taxation liabilities</t>
  </si>
  <si>
    <t>Deferred tax liabilities</t>
  </si>
  <si>
    <t>Provisions</t>
  </si>
  <si>
    <t>Trade and other payables</t>
  </si>
  <si>
    <t>Current liabilities</t>
  </si>
  <si>
    <t>Short-term borrowings</t>
  </si>
  <si>
    <t>Total equity and liabilities</t>
  </si>
  <si>
    <t>Share 
capital </t>
  </si>
  <si>
    <r>
      <rPr>
        <sz val="10"/>
        <rFont val="Vodafone Rg"/>
        <family val="2"/>
      </rPr>
      <t>Additional 
paid-in capital</t>
    </r>
    <r>
      <rPr>
        <vertAlign val="superscript"/>
        <sz val="10"/>
        <rFont val="Vodafone Rg"/>
        <family val="2"/>
      </rPr>
      <t>¹</t>
    </r>
  </si>
  <si>
    <r>
      <rPr>
        <sz val="10"/>
        <rFont val="Vodafone Rg"/>
        <family val="2"/>
      </rPr>
      <t>Treasury 
shares</t>
    </r>
    <r>
      <rPr>
        <sz val="10"/>
        <rFont val="Vodafone Rg"/>
        <family val="2"/>
      </rPr>
      <t> </t>
    </r>
  </si>
  <si>
    <r>
      <rPr>
        <sz val="10"/>
        <rFont val="Vodafone Rg"/>
        <family val="2"/>
      </rPr>
      <t>Accumulated 
comprehensive 
income</t>
    </r>
    <r>
      <rPr>
        <sz val="10"/>
        <rFont val="Calibri"/>
        <family val="2"/>
      </rPr>
      <t>²</t>
    </r>
  </si>
  <si>
    <t>Equity 
shareholders’ 
funds </t>
  </si>
  <si>
    <t>Non- 
controlling 
interests </t>
  </si>
  <si>
    <t>Total equity </t>
  </si>
  <si>
    <t>1 April 2012 restated</t>
  </si>
  <si>
    <t>Issue or reissue of shares</t>
  </si>
  <si>
    <t>Share-based payment</t>
  </si>
  <si>
    <t>Dividends</t>
  </si>
  <si>
    <t>Redemption or cancellation of shares</t>
  </si>
  <si>
    <t>Transactions with non-controlling interests in subsidiaries</t>
  </si>
  <si>
    <t>Comprehensive income</t>
  </si>
  <si>
    <t>1   Includes share premium account, capital redemption reserve and merger reserve. The merger reserve was derived from acquisitions made prior to 31 March 2004 and subsequently allocated to additional paid-in capital on adoption of IFRS.</t>
  </si>
  <si>
    <t>2   Includes retained losses and accumulated other comprehensive income.</t>
  </si>
  <si>
    <t>Consolidated statement of cash flows</t>
  </si>
  <si>
    <r>
      <rPr>
        <sz val="10"/>
        <rFont val="Vodafone Rg"/>
        <family val="2"/>
      </rPr>
      <t>Restated</t>
    </r>
    <r>
      <rPr>
        <sz val="10"/>
        <rFont val="Calibri"/>
        <family val="2"/>
      </rPr>
      <t> </t>
    </r>
  </si>
  <si>
    <t>Net cash flow from operating activities</t>
  </si>
  <si>
    <t>Cash flows from investing activities</t>
  </si>
  <si>
    <t>Purchase of intangible assets</t>
  </si>
  <si>
    <t>Purchase of property, plant and equipment</t>
  </si>
  <si>
    <t>Purchase of investments</t>
  </si>
  <si>
    <t>Disposal of investments</t>
  </si>
  <si>
    <t>Dividends received from investments</t>
  </si>
  <si>
    <t>Interest received</t>
  </si>
  <si>
    <t>Cash flows from financing activities</t>
  </si>
  <si>
    <t>Issue of ordinary share capital and reissue of treasury shares</t>
  </si>
  <si>
    <t>Net movement in short-term borrowings</t>
  </si>
  <si>
    <t>Proceeds from issue of long-term borrowings</t>
  </si>
  <si>
    <t>Repayment of borrowings</t>
  </si>
  <si>
    <t xml:space="preserve">Other transactions with non-controlling interests in subsidiaries </t>
  </si>
  <si>
    <t xml:space="preserve">Interest paid </t>
  </si>
  <si>
    <t>Net cash flow used in financing activities</t>
  </si>
  <si>
    <t>Net cash flow</t>
  </si>
  <si>
    <t>Proposed after the end of the reporting period and not recognised as a liability:</t>
  </si>
  <si>
    <t>Q4 13/14</t>
  </si>
  <si>
    <t>H2 13/14</t>
  </si>
  <si>
    <t>For the year ended 31 March</t>
  </si>
  <si>
    <t>31 March 2013 restated</t>
  </si>
  <si>
    <t>31 March 2014</t>
  </si>
  <si>
    <t>For the year ended 31 March 2014</t>
  </si>
  <si>
    <t>FY 14/15</t>
  </si>
  <si>
    <t>Preliminary Announcement</t>
  </si>
  <si>
    <t>Note 2 - Equity dividends on ordinary shares</t>
  </si>
  <si>
    <t>2. Equity dividends</t>
  </si>
  <si>
    <t>CONSOLIDATED FINANCIAL STATEMENTS</t>
  </si>
  <si>
    <t>Back</t>
  </si>
  <si>
    <t>Index</t>
  </si>
  <si>
    <t>For convenience, this document, which contains unaudited information, is a collation of financial information from previous Vodafone Group Plc press releases, modified as set out in the footnotes, but does not contain sufficient information to allow a full understanding of the historic results and state of affairs of the Vodafone Group. The financial information in this document only contains tabular information from the consolidated financial statements. For further information please refer to the relevant press releases for the interim management statements, half-year and full year financial results for the financial years ended 31 March 2013 and 31 March 2014. All the press releases can be found on the Investor Relations section of the Vodafone website at vodafone.com/investor.
This document also contains certain non-GAAP financial information. The Group’s management believes these measures provide valuable additional information in understanding the performance of the Group or the Group’s businesses because they provide measures used by the Group to assess performance. However, this additional information presented is not uniformly defined by all companies, including those in the Group’s industry. Accordingly, it may not be comparable with similarly titled measures and disclosures by other companies. Additionally, although these measures are important in the management of the business, they should not be viewed in isolation or as replacements for, or alternatives to, but rather as complementary to, the comparable GAAP measures.
Vodafone, the Vodafone logos and Vodacom, are trade marks of the Vodafone Group.  Other product and company names mentioned herein may be the 
trademarks of their respective owners.</t>
  </si>
  <si>
    <r>
      <t>Cable &amp; Wireless Worldwide</t>
    </r>
    <r>
      <rPr>
        <vertAlign val="superscript"/>
        <sz val="10"/>
        <rFont val="Vodafone Rg"/>
        <family val="2"/>
      </rPr>
      <t>7, 8</t>
    </r>
  </si>
  <si>
    <r>
      <t>Netherlands service revenue</t>
    </r>
    <r>
      <rPr>
        <vertAlign val="superscript"/>
        <sz val="10"/>
        <rFont val="Vodafone Rg"/>
        <family val="2"/>
      </rPr>
      <t>7</t>
    </r>
  </si>
  <si>
    <r>
      <t>Ireland service revenue</t>
    </r>
    <r>
      <rPr>
        <vertAlign val="superscript"/>
        <sz val="10"/>
        <rFont val="Vodafone Rg"/>
        <family val="2"/>
      </rPr>
      <t>7</t>
    </r>
  </si>
  <si>
    <r>
      <t>Portugal service revenue</t>
    </r>
    <r>
      <rPr>
        <vertAlign val="superscript"/>
        <sz val="10"/>
        <rFont val="Vodafone Rg"/>
        <family val="2"/>
      </rPr>
      <t>7</t>
    </r>
  </si>
  <si>
    <r>
      <t>Romania service revenue</t>
    </r>
    <r>
      <rPr>
        <vertAlign val="superscript"/>
        <sz val="10"/>
        <rFont val="Vodafone Rg"/>
        <family val="2"/>
      </rPr>
      <t>7</t>
    </r>
  </si>
  <si>
    <r>
      <t>Greece service revenue</t>
    </r>
    <r>
      <rPr>
        <vertAlign val="superscript"/>
        <sz val="10"/>
        <rFont val="Vodafone Rg"/>
        <family val="2"/>
      </rPr>
      <t>7</t>
    </r>
  </si>
  <si>
    <r>
      <t>Egypt service revenue</t>
    </r>
    <r>
      <rPr>
        <vertAlign val="superscript"/>
        <sz val="10"/>
        <rFont val="Vodafone Rg"/>
        <family val="2"/>
      </rPr>
      <t>10</t>
    </r>
  </si>
  <si>
    <r>
      <t>Turkey</t>
    </r>
    <r>
      <rPr>
        <b/>
        <vertAlign val="superscript"/>
        <sz val="10"/>
        <rFont val="Vodafone Rg"/>
        <family val="2"/>
      </rPr>
      <t>10</t>
    </r>
  </si>
  <si>
    <r>
      <t>Vodacom</t>
    </r>
    <r>
      <rPr>
        <b/>
        <vertAlign val="superscript"/>
        <sz val="10"/>
        <rFont val="Vodafone Rg"/>
        <family val="2"/>
      </rPr>
      <t>9</t>
    </r>
  </si>
  <si>
    <r>
      <t>Germany</t>
    </r>
    <r>
      <rPr>
        <b/>
        <vertAlign val="superscript"/>
        <sz val="10"/>
        <rFont val="Vodafone Rg"/>
        <family val="2"/>
      </rPr>
      <t>5</t>
    </r>
  </si>
  <si>
    <r>
      <t>Italy</t>
    </r>
    <r>
      <rPr>
        <b/>
        <vertAlign val="superscript"/>
        <sz val="10"/>
        <rFont val="Vodafone Rg"/>
        <family val="2"/>
      </rPr>
      <t>6</t>
    </r>
  </si>
  <si>
    <t>Revenue includes Kabel Deutschland ("KDH") from 14 October 2013 following acquisition of 76.7% of share capital.</t>
  </si>
  <si>
    <t>Results are presented on a management basis. Results for Africa, Middle East and Asia Pacific ('AMAP') include Vodafone Hutchison Australia, Vodafone Fiji and Indus Towers, the Group's joint ventures in AMAP, on a proportionate consolidation basis. Group results include Vodafone Hutchison Australia, Vodafone Fiji and Indus Towers on a proportionate consolidation basis.</t>
  </si>
  <si>
    <t>The Group acquired the outstanding 26.9% minority stake in Vodafone Italy on 21 Feb 2014.</t>
  </si>
  <si>
    <t>Results are presented on a management basis. Results for Africa, Middle East and Asia Pacific ('AMAP') include Vodafone Hutchison Australia, Vodafone Fiji and Indus Towers, the Group's joint ventures in AMAP, on a proportionate consolidation basis. Results for Group including joint ventures include Vodafone Hutchison Australia, Vodafone Fiji and Indus Towers on a proportionate consolidation basis.</t>
  </si>
  <si>
    <t>10</t>
  </si>
  <si>
    <r>
      <t xml:space="preserve">   Turkey</t>
    </r>
    <r>
      <rPr>
        <b/>
        <vertAlign val="superscript"/>
        <sz val="10"/>
        <rFont val="Vodafone Rg"/>
        <family val="2"/>
      </rPr>
      <t>10</t>
    </r>
  </si>
  <si>
    <r>
      <t>Italy</t>
    </r>
    <r>
      <rPr>
        <b/>
        <vertAlign val="superscript"/>
        <sz val="10"/>
        <rFont val="Vodafone Rg"/>
        <family val="2"/>
      </rPr>
      <t>8</t>
    </r>
  </si>
  <si>
    <t>Includes Vodafone Hutchison Australia, Vodafone Fiji and Indus Towers, the Group's joint ventures, on a proportionate consolidation basis.</t>
  </si>
  <si>
    <t>EBITDA and adjusted operating profit have been redefined to exclude restructuring costs and the write-off of an asset in relation to a regulatory case in Spain in the six months ended 30 September 2013 of £121 million and £107 million respectively.</t>
  </si>
  <si>
    <r>
      <t>Italy</t>
    </r>
    <r>
      <rPr>
        <vertAlign val="superscript"/>
        <sz val="8.5"/>
        <rFont val="Vodafone Rg"/>
        <family val="2"/>
      </rPr>
      <t>4</t>
    </r>
  </si>
  <si>
    <r>
      <t>Spain</t>
    </r>
    <r>
      <rPr>
        <vertAlign val="superscript"/>
        <sz val="10"/>
        <rFont val="Vodafone Rg"/>
        <family val="2"/>
      </rPr>
      <t>5</t>
    </r>
  </si>
  <si>
    <r>
      <t>Vodacom</t>
    </r>
    <r>
      <rPr>
        <vertAlign val="superscript"/>
        <sz val="10"/>
        <rFont val="Vodafone Rg"/>
        <family val="2"/>
      </rPr>
      <t>6, 7</t>
    </r>
  </si>
  <si>
    <r>
      <t>Australia</t>
    </r>
    <r>
      <rPr>
        <vertAlign val="superscript"/>
        <sz val="10"/>
        <rFont val="Vodafone Rg"/>
        <family val="2"/>
      </rPr>
      <t>8</t>
    </r>
  </si>
  <si>
    <t>The Group acquired the outstanding minority stake of Vodafone Italy on 21 Feb 2014, figures from Q4 13/14 are presented on a 100% basis.</t>
  </si>
  <si>
    <r>
      <t>Italy</t>
    </r>
    <r>
      <rPr>
        <vertAlign val="superscript"/>
        <sz val="10"/>
        <rFont val="Vodafone Rg"/>
        <family val="2"/>
      </rPr>
      <t>2</t>
    </r>
  </si>
  <si>
    <t xml:space="preserve">Group fixed broadband customers represent subsidiaries on a 100% basis and include Vodafone Australia, Vodafone Fiji and Indus Towers, the Group's joint ventures in Africa, Middle East and Asia Pacific, on a proportionate basis. </t>
  </si>
  <si>
    <t xml:space="preserve">Group mobile customers represent subsidiaries on a 100% basis and include Vodafone Australia, Vodafone Fiji and Indus Towers, the Group's joint ventures in Africa, Middle East and Asia Pacific, on a proportionate consolidation basis. </t>
  </si>
  <si>
    <t>Data volumes represent subsidiaries on a 100% basis and include Vodafone Hutchison Australia and Vodafone Fiji, the Group's joint ventures in Africa, Middle East and Asia Pacific, on a proportionate consolidation basis.</t>
  </si>
  <si>
    <t>Message volumes represent subsidiaries on a 100% basis and include Vodafone Hutchison Australia and Vodafone Fiji, the Group's joint ventures in Africa, Middle East and Asia Pacific, on a proportionate consolidation basis.</t>
  </si>
  <si>
    <t>Total voice minutes represent subsidiaries on a 100% basis and include Vodafone Hutchison Australia, and Vodafone Fiji, the Group's joint ventures in Africa, Middle East and Asia Pacific, on a proportionate consolidation basis.</t>
  </si>
  <si>
    <r>
      <t>Total voice minutes (in millions)</t>
    </r>
    <r>
      <rPr>
        <b/>
        <vertAlign val="superscript"/>
        <sz val="8"/>
        <rFont val="Vodafone Rg"/>
        <family val="2"/>
      </rPr>
      <t>1, 3</t>
    </r>
  </si>
  <si>
    <r>
      <t>Vodacom</t>
    </r>
    <r>
      <rPr>
        <vertAlign val="superscript"/>
        <sz val="10"/>
        <rFont val="Vodafone Rg"/>
        <family val="2"/>
      </rPr>
      <t>4, 5</t>
    </r>
  </si>
  <si>
    <r>
      <t>Germany</t>
    </r>
    <r>
      <rPr>
        <vertAlign val="superscript"/>
        <sz val="8.5"/>
        <rFont val="Vodafone Rg"/>
        <family val="2"/>
      </rPr>
      <t>2</t>
    </r>
  </si>
  <si>
    <t>Figures from Q3 13/14 include Kabel Deutschland following its acquisition on [XX].</t>
  </si>
  <si>
    <r>
      <t>UK</t>
    </r>
    <r>
      <rPr>
        <vertAlign val="superscript"/>
        <sz val="10"/>
        <rFont val="Vodafone Rg"/>
        <family val="2"/>
      </rPr>
      <t>4</t>
    </r>
  </si>
  <si>
    <r>
      <t>New Zealand</t>
    </r>
    <r>
      <rPr>
        <vertAlign val="superscript"/>
        <sz val="10"/>
        <rFont val="Vodafone Rg"/>
        <family val="2"/>
      </rPr>
      <t>6</t>
    </r>
  </si>
  <si>
    <t>2.3.</t>
  </si>
  <si>
    <t>#</t>
  </si>
  <si>
    <t>Revenue for the six months ended 31 March 2014 includes elimination of intercompany revenue between operating companies within the Other Europe segment of £2 million (2013: £5 million, six months ended 30 September 2013 and 2012: £3 million and £5 million respectively) and within the Other Africa, Middle East and Asia Pacific segment of £nil million (2013: £2 million, six months ended 30 September 2013 and 2012: £1 million and £3 million respectivey).</t>
  </si>
  <si>
    <t>Current period results reflect average exchange rates of £1:€1.19 and £1:US$1.59.</t>
  </si>
  <si>
    <t>For further information refer to page 19 of the preliminary announcement for the year ended 31 March 2014, page 23 of the half-year financial report for the six months ended 30 September 2013, page 22 of the preliminary announcement for the year ended 31 March 2013 and page 21 of the half-year financial report for the six months ended 30 September 2012.</t>
  </si>
  <si>
    <r>
      <t>Special dividend</t>
    </r>
    <r>
      <rPr>
        <vertAlign val="superscript"/>
        <sz val="10"/>
        <rFont val="Vodafone Rg"/>
        <family val="2"/>
      </rPr>
      <t>2</t>
    </r>
  </si>
  <si>
    <t>Income tax expense:</t>
  </si>
  <si>
    <t>Removal of post-disposal VZW tax</t>
  </si>
  <si>
    <t>Adjusted income tax expense for calculating adjusted effective tax rate</t>
  </si>
  <si>
    <t>Profit/(loss) before tax:</t>
  </si>
  <si>
    <t>Total profit/(loss) before tax</t>
  </si>
  <si>
    <t>Share of associates' and joint ventures' tax and non-controlling interest</t>
  </si>
  <si>
    <t>Adjusted profit before tax for calculating adjusted effective tax rate</t>
  </si>
  <si>
    <t>Continuing operations before recognition of deferred tax</t>
  </si>
  <si>
    <t>Deferred tax on current year movement of Luxembourg losses</t>
  </si>
  <si>
    <t>Adjusted earnings per share</t>
  </si>
  <si>
    <t>For further information refer to page 10, 11, 12 and 33 of the preliminary announcement for the year ended 31 March 2014, page 10, 11, 12 and 45 of the half-year financial report for the six months ended 30 September 2013, page 36 of the preliminary announcement for the year ended 31 March 2013 and page 10, 11 and 44 of the half-year financial report for the six months ended 30 September 2012.</t>
  </si>
  <si>
    <t>Operating loss</t>
  </si>
  <si>
    <t>Loss before taxation</t>
  </si>
  <si>
    <t>Accumulated losses</t>
  </si>
  <si>
    <t>Purchase of interests in subsidiaries, net of cash acquired</t>
  </si>
  <si>
    <t>Purchase of interests in associates and joint ventures</t>
  </si>
  <si>
    <t>Disposal of interests in subsidiaries, net of cash disposed</t>
  </si>
  <si>
    <t>Disposal of interests in associates and joint ventures</t>
  </si>
  <si>
    <t>Dividends received from associates and joint ventures</t>
  </si>
  <si>
    <t>B and C share payments</t>
  </si>
  <si>
    <t>Profit for the financial year</t>
  </si>
  <si>
    <t>Other comprehensive income:</t>
  </si>
  <si>
    <t>Items that may be reclassified to profit or loss in subsequent periods</t>
  </si>
  <si>
    <t>Items that will not be reclassified to profit or loss in subsequent periods</t>
  </si>
  <si>
    <t>Net actuarial gains/(losses) on defined benefit pension schemes, net of tax</t>
  </si>
  <si>
    <t>Total items will not be classified to profit or loss in subsequent years</t>
  </si>
  <si>
    <t>Total items that may be classified to profit or loss in subsequent years</t>
  </si>
  <si>
    <t>Fair value gains transferred to the income statement</t>
  </si>
  <si>
    <t>Purchase of own shares</t>
  </si>
  <si>
    <t>Declared during the financial year:</t>
  </si>
  <si>
    <t>Interim dividend for the yeat ended 31 March 2014: 3.53 pence per share (2013: 3.27 pence)</t>
  </si>
  <si>
    <t>Final dividend for the year ended 31 March 2013: 6.92 pence per share (2012: 6.47 pence)</t>
  </si>
  <si>
    <t>Special dividend for the year ended 31 March 2014: 172.94 US cents per share (2013: nil)</t>
  </si>
  <si>
    <t>Final dividend for the year ended 31 March 2014: 7.47 pence per share (2013: 6.92 pence)</t>
  </si>
  <si>
    <t>EBITDA and adjusted operating profit have been redefined to exclude restructuring costs in the six months ended 31 March 2014: £234 million (Six months ended 30 September 2013: £121 million, six months ended 31 March 2013: £248 million, six months ended 30 September 2012: £63 million).</t>
  </si>
  <si>
    <t>Group adjusted operating profit on a management basis excludes non-operating income from associates, impairment losses, restructuring costs, other income and expenses and other significant one-off items. For the six months ended 30 September 2013 this included the write-off of an asset relating to a regulatory case in Spain of £107 million.</t>
  </si>
  <si>
    <t xml:space="preserve">Operating profit excluding share of results in associates, depreciation and amortisation, gains/losses on the disposal of fixed assets, impairment losses, restructuring costs, other operating income and expense, and other significant one-off items. For the six months ended 30 September 2013 this includes the write-off of an asset relating to a regulatory case in Spain of £107 million. The Group’s definition of EBITDA may not be comparable with similarly titled measures and disclosures by other companies. </t>
  </si>
  <si>
    <t xml:space="preserve">Operating free cash flow after cash flows in relation to taxation, interest, dividends received from associates and investments, and dividends paid to non-controlling shareholders in subsidiaries but before licence and spectrum payments. For the year ended 31 March 2013 other items excluded the income dividend received from VZW in December 2012 and payments in respect of a tax case settlement. For the year ended 31 March 2012 payments in respect of a tax case settlement, tax relating to the disposal of our 24.4% interest in Polkomtel, the income dividend received from VZW in January 2012 and the return of the court deposit made in respect of the India tax case were also excluded. </t>
  </si>
  <si>
    <t>Capital reduction and creation of B and C shares</t>
  </si>
  <si>
    <t>Cancellation of B shares</t>
  </si>
  <si>
    <t xml:space="preserve">Dividends paid to non-controlling shareholders in subsidiaries </t>
  </si>
  <si>
    <t>Share of results of equity accounted associates and joint ventures</t>
  </si>
  <si>
    <t xml:space="preserve">Profit for the financial period </t>
  </si>
  <si>
    <t>Foreign exchange losses transferred to the income statement</t>
  </si>
  <si>
    <t>Other comprehensive (expense)/income</t>
  </si>
  <si>
    <t>Total comprehensive income for the financial year</t>
  </si>
  <si>
    <t>Investments in associates and joint ventures</t>
  </si>
  <si>
    <t>Assets held for sale</t>
  </si>
  <si>
    <t>Net cash flow from investing activities</t>
  </si>
  <si>
    <t>Other movements in loans with associates and joint ventures</t>
  </si>
  <si>
    <t>Cash and cash equivalents at beginning of the financial year</t>
  </si>
  <si>
    <t>Exchange (loss)/gain on cash and cash equivalents</t>
  </si>
  <si>
    <t>Cash and cash equivalents at end of the financial year</t>
  </si>
  <si>
    <t>Impairment losses</t>
  </si>
  <si>
    <t>Amortisation of acquired customer base and brand intangible assets</t>
  </si>
  <si>
    <t>Restructuring costs</t>
  </si>
  <si>
    <r>
      <t>Discontinued and other items</t>
    </r>
    <r>
      <rPr>
        <vertAlign val="superscript"/>
        <sz val="10"/>
        <rFont val="Vodafone Rg"/>
        <family val="2"/>
      </rPr>
      <t>1</t>
    </r>
  </si>
  <si>
    <t>Removal of VZW trading results and tax after 2 September</t>
  </si>
  <si>
    <t>Recognition of addional deferred tax - continuing operations</t>
  </si>
  <si>
    <t>Total income tax expense - continuing items</t>
  </si>
  <si>
    <t>Income tax expense - discontinued operations</t>
  </si>
  <si>
    <t>Recognition of deferred tax asset for losses in Germany and Luxembourg</t>
  </si>
  <si>
    <t>Tax liability on US rationalisation and reorganisation</t>
  </si>
  <si>
    <t>Adjusted profit before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</si>
</sst>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 #,##0.00_-;_-* &quot;-&quot;??_-;_-@_-"/>
    <numFmt numFmtId="164" formatCode="_-* #,##0_-;\-* #,##0_-;_-* &quot;-&quot;??_-;_-@_-"/>
    <numFmt numFmtId="165" formatCode="_-* #,##0.0_-;\-* #,##0.0_-;_-* &quot;-&quot;??_-;_-@_-"/>
    <numFmt numFmtId="166" formatCode="#,##0\ ;\(#,##0\);\–\ "/>
    <numFmt numFmtId="167" formatCode="#,##0.0\ ;\(#,##0.0\);\–\ "/>
    <numFmt numFmtId="168" formatCode="_-* #,###_-;\(#,###\);_-* &quot;-&quot;??_-;_-@_-"/>
    <numFmt numFmtId="169" formatCode="_-* #,##0.0_-;\(#,##0.0\);_-* &quot;-&quot;??_-;_-@_-"/>
    <numFmt numFmtId="170" formatCode="0.0%"/>
    <numFmt numFmtId="171" formatCode="###0.0\ ;\(###0.0\);\–\ "/>
    <numFmt numFmtId="172" formatCode="###0\ ;\(###0\);\–\ "/>
    <numFmt numFmtId="173" formatCode="#,##0.00&quot;p&quot;\ ;\(#,##0.00&quot;p&quot;\);\–\ "/>
    <numFmt numFmtId="174" formatCode="#,##0.0%\ ;\(#,##0.0%\);\–\ "/>
    <numFmt numFmtId="175" formatCode="#,##0\ ;\(#,##0\)"/>
    <numFmt numFmtId="176" formatCode="#,###;\(#,###\)"/>
    <numFmt numFmtId="177" formatCode="###0\ ;\(###0\);\–\ \ "/>
    <numFmt numFmtId="178" formatCode="#,##0\ ;\(#,##0\);\–\ \ "/>
    <numFmt numFmtId="179" formatCode="#,##0\ ;\(#,##0\)\ ;\–\ "/>
  </numFmts>
  <fonts count="46" x14ac:knownFonts="1">
    <font>
      <sz val="10"/>
      <name val="Arial"/>
      <family val="2"/>
    </font>
    <font>
      <sz val="11"/>
      <color theme="1"/>
      <name val="Calibri"/>
      <family val="2"/>
      <scheme val="minor"/>
    </font>
    <font>
      <b/>
      <sz val="18"/>
      <name val="Vodafone Rg"/>
      <family val="2"/>
    </font>
    <font>
      <sz val="16"/>
      <name val="Arial"/>
      <family val="2"/>
    </font>
    <font>
      <b/>
      <sz val="10"/>
      <name val="Vodafone Rg"/>
      <family val="2"/>
    </font>
    <font>
      <u/>
      <sz val="10"/>
      <color indexed="12"/>
      <name val="Arial"/>
      <family val="2"/>
    </font>
    <font>
      <b/>
      <sz val="14"/>
      <name val="Vodafone Rg"/>
      <family val="2"/>
    </font>
    <font>
      <b/>
      <sz val="11"/>
      <name val="Vodafone Rg"/>
      <family val="2"/>
    </font>
    <font>
      <sz val="10"/>
      <name val="Vodafone Rg"/>
      <family val="2"/>
    </font>
    <font>
      <sz val="11"/>
      <color indexed="8"/>
      <name val="Calibri"/>
      <family val="2"/>
    </font>
    <font>
      <sz val="11"/>
      <name val="Vodafone Rg"/>
      <family val="2"/>
    </font>
    <font>
      <vertAlign val="superscript"/>
      <sz val="10"/>
      <name val="Vodafone Rg"/>
      <family val="2"/>
    </font>
    <font>
      <b/>
      <sz val="12"/>
      <name val="Vodafone Rg"/>
      <family val="2"/>
    </font>
    <font>
      <sz val="10"/>
      <color indexed="8"/>
      <name val="Vodafone Rg"/>
      <family val="2"/>
    </font>
    <font>
      <sz val="9.5"/>
      <name val="Vodafone Rg"/>
      <family val="2"/>
    </font>
    <font>
      <b/>
      <sz val="10"/>
      <name val="Arial"/>
      <family val="2"/>
    </font>
    <font>
      <sz val="9"/>
      <name val="Vodafone Rg"/>
      <family val="2"/>
    </font>
    <font>
      <b/>
      <sz val="9"/>
      <name val="Vodafone Rg"/>
      <family val="2"/>
    </font>
    <font>
      <b/>
      <vertAlign val="superscript"/>
      <sz val="10"/>
      <name val="Vodafone Rg"/>
      <family val="2"/>
    </font>
    <font>
      <vertAlign val="superscript"/>
      <sz val="10"/>
      <color indexed="8"/>
      <name val="Vodafone Rg"/>
      <family val="2"/>
    </font>
    <font>
      <sz val="10"/>
      <name val="Calibri"/>
      <family val="2"/>
    </font>
    <font>
      <b/>
      <vertAlign val="superscript"/>
      <sz val="14"/>
      <name val="Vodafone Rg"/>
      <family val="2"/>
    </font>
    <font>
      <b/>
      <vertAlign val="superscript"/>
      <sz val="8"/>
      <name val="Vodafone Rg"/>
      <family val="2"/>
    </font>
    <font>
      <sz val="10"/>
      <name val="Arial"/>
      <family val="2"/>
    </font>
    <font>
      <b/>
      <u/>
      <sz val="14"/>
      <color indexed="12"/>
      <name val="Vodafone Rg"/>
      <family val="2"/>
    </font>
    <font>
      <sz val="11"/>
      <color theme="1"/>
      <name val="Calibri"/>
      <family val="2"/>
      <scheme val="minor"/>
    </font>
    <font>
      <b/>
      <sz val="12"/>
      <color rgb="FFFF0000"/>
      <name val="Vodafone Rg"/>
      <family val="2"/>
    </font>
    <font>
      <b/>
      <u/>
      <sz val="14"/>
      <color rgb="FF0000FF"/>
      <name val="Vodafone Rg"/>
      <family val="2"/>
    </font>
    <font>
      <b/>
      <sz val="10"/>
      <color rgb="FFFF0000"/>
      <name val="Vodafone Rg"/>
      <family val="2"/>
    </font>
    <font>
      <sz val="10"/>
      <color rgb="FFFF0000"/>
      <name val="Vodafone Rg"/>
      <family val="2"/>
    </font>
    <font>
      <b/>
      <sz val="12"/>
      <color rgb="FF000000"/>
      <name val="Vodafone Rg"/>
      <family val="2"/>
    </font>
    <font>
      <sz val="10"/>
      <color rgb="FF000000"/>
      <name val="Vodafone Rg"/>
      <family val="2"/>
    </font>
    <font>
      <b/>
      <sz val="10"/>
      <color rgb="FF000000"/>
      <name val="Vodafone Rg"/>
      <family val="2"/>
    </font>
    <font>
      <b/>
      <sz val="9.5"/>
      <color rgb="FF000000"/>
      <name val="Vodafone Rg"/>
      <family val="2"/>
    </font>
    <font>
      <sz val="9.5"/>
      <color rgb="FFFF0000"/>
      <name val="Vodafone Rg"/>
      <family val="2"/>
    </font>
    <font>
      <sz val="11"/>
      <name val="Calibri"/>
      <family val="2"/>
      <scheme val="minor"/>
    </font>
    <font>
      <sz val="12"/>
      <name val="Vodafone Rg"/>
      <family val="2"/>
    </font>
    <font>
      <u/>
      <sz val="10"/>
      <name val="Arial"/>
      <family val="2"/>
    </font>
    <font>
      <u/>
      <sz val="10"/>
      <name val="Vodafone Rg"/>
      <family val="2"/>
    </font>
    <font>
      <b/>
      <i/>
      <sz val="14"/>
      <name val="Vodafone Rg"/>
      <family val="2"/>
    </font>
    <font>
      <sz val="9"/>
      <name val="Arial"/>
      <family val="2"/>
    </font>
    <font>
      <b/>
      <i/>
      <sz val="10"/>
      <name val="Vodafone Rg"/>
      <family val="2"/>
    </font>
    <font>
      <i/>
      <sz val="10"/>
      <name val="Vodafone Rg"/>
      <family val="2"/>
    </font>
    <font>
      <vertAlign val="superscript"/>
      <sz val="8.5"/>
      <name val="Vodafone Rg"/>
      <family val="2"/>
    </font>
    <font>
      <sz val="10"/>
      <color theme="1"/>
      <name val="Arial"/>
      <family val="2"/>
    </font>
    <font>
      <sz val="10"/>
      <color theme="1"/>
      <name val="Vodafone Rg"/>
      <family val="2"/>
    </font>
  </fonts>
  <fills count="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s>
  <borders count="19">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s>
  <cellStyleXfs count="37">
    <xf numFmtId="0" fontId="0" fillId="0" borderId="0"/>
    <xf numFmtId="0" fontId="23" fillId="0" borderId="0"/>
    <xf numFmtId="43" fontId="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applyNumberFormat="0" applyFill="0" applyBorder="0">
      <protection locked="0"/>
    </xf>
    <xf numFmtId="0" fontId="23" fillId="0" borderId="0"/>
    <xf numFmtId="0" fontId="23" fillId="0" borderId="0"/>
    <xf numFmtId="0" fontId="25" fillId="0" borderId="0"/>
    <xf numFmtId="0" fontId="23" fillId="0" borderId="0"/>
    <xf numFmtId="0" fontId="23" fillId="0" borderId="0">
      <alignment vertical="center"/>
    </xf>
    <xf numFmtId="0" fontId="25"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Protection="0"/>
    <xf numFmtId="9" fontId="23" fillId="0" borderId="0" applyFont="0" applyFill="0" applyBorder="0" applyProtection="0"/>
    <xf numFmtId="0" fontId="23" fillId="0" borderId="0"/>
    <xf numFmtId="0" fontId="23" fillId="0" borderId="0"/>
    <xf numFmtId="0" fontId="23" fillId="0" borderId="0"/>
    <xf numFmtId="0" fontId="37" fillId="0" borderId="0" applyNumberFormat="0" applyFill="0" applyBorder="0">
      <protection locked="0"/>
    </xf>
    <xf numFmtId="0" fontId="37" fillId="0" borderId="0" applyNumberFormat="0" applyFill="0" applyBorder="0">
      <protection locked="0"/>
    </xf>
    <xf numFmtId="0" fontId="1" fillId="0" borderId="0"/>
    <xf numFmtId="0" fontId="23" fillId="0" borderId="0"/>
  </cellStyleXfs>
  <cellXfs count="878">
    <xf numFmtId="0" fontId="0" fillId="0" borderId="0" xfId="0"/>
    <xf numFmtId="0" fontId="2" fillId="0" borderId="0" xfId="21" applyFont="1" applyBorder="1"/>
    <xf numFmtId="0" fontId="0" fillId="0" borderId="0" xfId="21" applyFont="1" applyBorder="1"/>
    <xf numFmtId="0" fontId="26" fillId="0" borderId="0" xfId="21" applyFont="1" applyBorder="1"/>
    <xf numFmtId="0" fontId="3" fillId="0" borderId="0" xfId="21" applyFont="1" applyBorder="1"/>
    <xf numFmtId="0" fontId="4" fillId="0" borderId="0" xfId="21" applyFont="1" applyBorder="1"/>
    <xf numFmtId="0" fontId="27" fillId="0" borderId="0" xfId="5" applyFont="1" applyBorder="1" applyAlignment="1" applyProtection="1"/>
    <xf numFmtId="0" fontId="6" fillId="0" borderId="0" xfId="21" applyFont="1" applyBorder="1"/>
    <xf numFmtId="0" fontId="7" fillId="0" borderId="0" xfId="21" applyFont="1" applyBorder="1" applyAlignment="1">
      <alignment horizontal="left"/>
    </xf>
    <xf numFmtId="0" fontId="0" fillId="0" borderId="0" xfId="21" applyFont="1"/>
    <xf numFmtId="0" fontId="8" fillId="0" borderId="0" xfId="14" applyFont="1" applyFill="1" applyBorder="1"/>
    <xf numFmtId="0" fontId="8" fillId="2" borderId="0" xfId="14" applyFont="1" applyFill="1" applyBorder="1" applyAlignment="1">
      <alignment horizontal="center"/>
    </xf>
    <xf numFmtId="0" fontId="8" fillId="3" borderId="0" xfId="14" applyFont="1" applyFill="1" applyBorder="1" applyAlignment="1">
      <alignment horizontal="center"/>
    </xf>
    <xf numFmtId="0" fontId="28" fillId="0" borderId="0" xfId="14" applyFont="1" applyFill="1" applyBorder="1"/>
    <xf numFmtId="0" fontId="8" fillId="2" borderId="0" xfId="18" applyFont="1" applyFill="1" applyBorder="1" applyAlignment="1">
      <alignment horizontal="right"/>
    </xf>
    <xf numFmtId="0" fontId="8" fillId="3" borderId="0" xfId="14" applyFont="1" applyFill="1" applyBorder="1" applyAlignment="1">
      <alignment horizontal="right"/>
    </xf>
    <xf numFmtId="0" fontId="8" fillId="4" borderId="0" xfId="14" applyFont="1" applyFill="1" applyBorder="1" applyAlignment="1">
      <alignment horizontal="right"/>
    </xf>
    <xf numFmtId="0" fontId="8" fillId="0" borderId="0" xfId="14" applyFont="1" applyFill="1" applyBorder="1" applyAlignment="1">
      <alignment horizontal="right"/>
    </xf>
    <xf numFmtId="0" fontId="8" fillId="2" borderId="0" xfId="13" applyFont="1" applyFill="1" applyAlignment="1">
      <alignment horizontal="right"/>
    </xf>
    <xf numFmtId="0" fontId="8" fillId="3" borderId="0" xfId="6" applyFont="1" applyFill="1" applyAlignment="1">
      <alignment horizontal="right"/>
    </xf>
    <xf numFmtId="0" fontId="8" fillId="4" borderId="0" xfId="6" applyFont="1" applyFill="1" applyAlignment="1">
      <alignment horizontal="right"/>
    </xf>
    <xf numFmtId="0" fontId="4" fillId="0" borderId="0" xfId="14" applyFont="1" applyFill="1" applyBorder="1"/>
    <xf numFmtId="0" fontId="8" fillId="2" borderId="0" xfId="18" applyFont="1" applyFill="1" applyBorder="1"/>
    <xf numFmtId="0" fontId="8" fillId="3" borderId="0" xfId="14" applyFont="1" applyFill="1" applyBorder="1"/>
    <xf numFmtId="0" fontId="4" fillId="0" borderId="0" xfId="14" applyFont="1" applyFill="1" applyBorder="1" applyAlignment="1"/>
    <xf numFmtId="164" fontId="8" fillId="2" borderId="0" xfId="3" applyNumberFormat="1" applyFont="1" applyFill="1" applyBorder="1" applyAlignment="1"/>
    <xf numFmtId="164" fontId="8" fillId="3" borderId="0" xfId="3" applyNumberFormat="1" applyFont="1" applyFill="1" applyBorder="1" applyAlignment="1"/>
    <xf numFmtId="164" fontId="8" fillId="4" borderId="0" xfId="3" applyNumberFormat="1" applyFont="1" applyFill="1" applyBorder="1" applyAlignment="1"/>
    <xf numFmtId="165" fontId="8" fillId="2" borderId="0" xfId="3" applyNumberFormat="1" applyFont="1" applyFill="1" applyBorder="1" applyAlignment="1"/>
    <xf numFmtId="166" fontId="8" fillId="3" borderId="0" xfId="18" applyNumberFormat="1" applyFont="1" applyFill="1" applyBorder="1"/>
    <xf numFmtId="166" fontId="8" fillId="3" borderId="0" xfId="14" applyNumberFormat="1" applyFont="1" applyFill="1" applyBorder="1"/>
    <xf numFmtId="166" fontId="8" fillId="4" borderId="0" xfId="14" applyNumberFormat="1" applyFont="1" applyFill="1" applyBorder="1"/>
    <xf numFmtId="166" fontId="8" fillId="0" borderId="0" xfId="14" applyNumberFormat="1" applyFont="1" applyFill="1" applyBorder="1" applyAlignment="1">
      <alignment horizontal="right"/>
    </xf>
    <xf numFmtId="167" fontId="8" fillId="3" borderId="0" xfId="3" applyNumberFormat="1" applyFont="1" applyFill="1" applyBorder="1" applyAlignment="1">
      <alignment horizontal="right"/>
    </xf>
    <xf numFmtId="0" fontId="4" fillId="3" borderId="0" xfId="14" applyFont="1" applyFill="1" applyBorder="1"/>
    <xf numFmtId="166" fontId="4" fillId="3" borderId="1" xfId="18" applyNumberFormat="1" applyFont="1" applyFill="1" applyBorder="1"/>
    <xf numFmtId="166" fontId="4" fillId="3" borderId="1" xfId="14" applyNumberFormat="1" applyFont="1" applyFill="1" applyBorder="1"/>
    <xf numFmtId="167" fontId="4" fillId="3" borderId="0" xfId="3" applyNumberFormat="1" applyFont="1" applyFill="1" applyBorder="1" applyAlignment="1">
      <alignment horizontal="right"/>
    </xf>
    <xf numFmtId="166" fontId="8" fillId="3" borderId="0" xfId="2" applyNumberFormat="1" applyFont="1" applyFill="1"/>
    <xf numFmtId="166" fontId="8" fillId="3" borderId="0" xfId="3" applyNumberFormat="1" applyFont="1" applyFill="1" applyBorder="1" applyAlignment="1">
      <alignment horizontal="right"/>
    </xf>
    <xf numFmtId="165" fontId="8" fillId="3" borderId="0" xfId="3" applyNumberFormat="1" applyFont="1" applyFill="1" applyBorder="1"/>
    <xf numFmtId="0" fontId="8" fillId="0" borderId="0" xfId="14" applyFont="1" applyFill="1" applyBorder="1" applyAlignment="1">
      <alignment horizontal="left" indent="2"/>
    </xf>
    <xf numFmtId="166" fontId="8" fillId="3" borderId="2" xfId="2" applyNumberFormat="1" applyFont="1" applyFill="1" applyBorder="1"/>
    <xf numFmtId="166" fontId="8" fillId="3" borderId="2" xfId="3" applyNumberFormat="1" applyFont="1" applyFill="1" applyBorder="1" applyAlignment="1">
      <alignment horizontal="right"/>
    </xf>
    <xf numFmtId="166" fontId="8" fillId="3" borderId="0" xfId="2" applyNumberFormat="1" applyFont="1" applyFill="1" applyBorder="1"/>
    <xf numFmtId="0" fontId="4" fillId="0" borderId="0" xfId="14" applyFont="1" applyFill="1"/>
    <xf numFmtId="166" fontId="4" fillId="3" borderId="1" xfId="3" applyNumberFormat="1" applyFont="1" applyFill="1" applyBorder="1" applyAlignment="1">
      <alignment horizontal="right"/>
    </xf>
    <xf numFmtId="166" fontId="4" fillId="3" borderId="3" xfId="2" applyNumberFormat="1" applyFont="1" applyFill="1" applyBorder="1"/>
    <xf numFmtId="166" fontId="4" fillId="3" borderId="3" xfId="3" applyNumberFormat="1" applyFont="1" applyFill="1" applyBorder="1" applyAlignment="1">
      <alignment horizontal="right"/>
    </xf>
    <xf numFmtId="166" fontId="4" fillId="0" borderId="0" xfId="14" applyNumberFormat="1" applyFont="1" applyFill="1" applyBorder="1" applyAlignment="1">
      <alignment horizontal="right"/>
    </xf>
    <xf numFmtId="166" fontId="4" fillId="3" borderId="0" xfId="3" applyNumberFormat="1" applyFont="1" applyFill="1" applyBorder="1" applyAlignment="1">
      <alignment horizontal="right"/>
    </xf>
    <xf numFmtId="167" fontId="8" fillId="3" borderId="0" xfId="14" applyNumberFormat="1" applyFont="1" applyFill="1" applyBorder="1" applyAlignment="1">
      <alignment horizontal="right"/>
    </xf>
    <xf numFmtId="0" fontId="8" fillId="0" borderId="0" xfId="17" applyFont="1" applyFill="1" applyBorder="1"/>
    <xf numFmtId="0" fontId="4" fillId="0" borderId="0" xfId="17" applyFont="1" applyFill="1" applyBorder="1"/>
    <xf numFmtId="166" fontId="10" fillId="3" borderId="0" xfId="8" applyNumberFormat="1" applyFont="1" applyFill="1"/>
    <xf numFmtId="0" fontId="4" fillId="0" borderId="0" xfId="17" applyFont="1" applyFill="1" applyBorder="1" applyAlignment="1">
      <alignment wrapText="1"/>
    </xf>
    <xf numFmtId="167" fontId="4" fillId="3" borderId="0" xfId="14" applyNumberFormat="1" applyFont="1" applyFill="1" applyBorder="1" applyAlignment="1">
      <alignment horizontal="right"/>
    </xf>
    <xf numFmtId="166" fontId="8" fillId="3" borderId="0" xfId="14" applyNumberFormat="1" applyFont="1" applyFill="1" applyBorder="1" applyAlignment="1">
      <alignment horizontal="right"/>
    </xf>
    <xf numFmtId="166" fontId="8" fillId="2" borderId="0" xfId="3" applyNumberFormat="1" applyFont="1" applyFill="1" applyBorder="1" applyAlignment="1">
      <alignment horizontal="right"/>
    </xf>
    <xf numFmtId="0" fontId="8" fillId="0" borderId="0" xfId="14" applyFont="1" applyFill="1" applyBorder="1" applyAlignment="1"/>
    <xf numFmtId="168" fontId="8" fillId="2" borderId="0" xfId="3" applyNumberFormat="1" applyFont="1" applyFill="1" applyBorder="1" applyAlignment="1"/>
    <xf numFmtId="168" fontId="8" fillId="3" borderId="0" xfId="3" applyNumberFormat="1" applyFont="1" applyFill="1" applyBorder="1" applyAlignment="1"/>
    <xf numFmtId="169" fontId="8" fillId="0" borderId="0" xfId="14" applyNumberFormat="1" applyFont="1" applyFill="1" applyBorder="1"/>
    <xf numFmtId="49" fontId="8" fillId="0" borderId="0" xfId="14" applyNumberFormat="1" applyFont="1" applyFill="1" applyBorder="1" applyAlignment="1">
      <alignment horizontal="left" vertical="top"/>
    </xf>
    <xf numFmtId="0" fontId="8" fillId="0" borderId="0" xfId="14" quotePrefix="1" applyFont="1" applyFill="1" applyAlignment="1">
      <alignment horizontal="left" vertical="top"/>
    </xf>
    <xf numFmtId="0" fontId="8" fillId="0" borderId="0" xfId="14" applyFont="1" applyFill="1"/>
    <xf numFmtId="0" fontId="8" fillId="2" borderId="0" xfId="14" applyFont="1" applyFill="1"/>
    <xf numFmtId="0" fontId="8" fillId="3" borderId="0" xfId="14" applyFont="1" applyFill="1"/>
    <xf numFmtId="0" fontId="28" fillId="2" borderId="0" xfId="14" applyFont="1" applyFill="1" applyBorder="1" applyAlignment="1"/>
    <xf numFmtId="0" fontId="8" fillId="2" borderId="0" xfId="14" applyFont="1" applyFill="1" applyBorder="1"/>
    <xf numFmtId="168" fontId="8" fillId="2" borderId="0" xfId="14" applyNumberFormat="1" applyFont="1" applyFill="1" applyBorder="1" applyAlignment="1">
      <alignment horizontal="center"/>
    </xf>
    <xf numFmtId="168" fontId="8" fillId="0" borderId="0" xfId="14" applyNumberFormat="1" applyFont="1" applyFill="1" applyBorder="1"/>
    <xf numFmtId="0" fontId="8" fillId="2" borderId="0" xfId="15" applyFont="1" applyFill="1" applyBorder="1"/>
    <xf numFmtId="170" fontId="8" fillId="2" borderId="0" xfId="27" applyNumberFormat="1" applyFont="1" applyFill="1" applyBorder="1" applyAlignment="1">
      <alignment horizontal="right"/>
    </xf>
    <xf numFmtId="168" fontId="8" fillId="0" borderId="0" xfId="14" applyNumberFormat="1" applyFont="1" applyFill="1" applyBorder="1" applyAlignment="1">
      <alignment horizontal="right"/>
    </xf>
    <xf numFmtId="0" fontId="8" fillId="2" borderId="0" xfId="14" applyFont="1" applyFill="1" applyBorder="1" applyAlignment="1">
      <alignment horizontal="right"/>
    </xf>
    <xf numFmtId="168" fontId="8" fillId="2" borderId="0" xfId="14" applyNumberFormat="1" applyFont="1" applyFill="1" applyBorder="1"/>
    <xf numFmtId="168" fontId="8" fillId="3" borderId="0" xfId="14" applyNumberFormat="1" applyFont="1" applyFill="1" applyBorder="1"/>
    <xf numFmtId="0" fontId="8" fillId="2" borderId="0" xfId="14" applyFont="1" applyFill="1" applyBorder="1" applyAlignment="1">
      <alignment horizontal="left" vertical="top" indent="2"/>
    </xf>
    <xf numFmtId="0" fontId="4" fillId="2" borderId="0" xfId="14" applyFont="1" applyFill="1" applyBorder="1"/>
    <xf numFmtId="0" fontId="4" fillId="2" borderId="0" xfId="14" applyFont="1" applyFill="1" applyBorder="1" applyAlignment="1">
      <alignment horizontal="left" vertical="top"/>
    </xf>
    <xf numFmtId="0" fontId="4" fillId="2" borderId="0" xfId="14" applyFont="1" applyFill="1" applyBorder="1" applyAlignment="1">
      <alignment horizontal="right"/>
    </xf>
    <xf numFmtId="0" fontId="4" fillId="2" borderId="0" xfId="14" applyFont="1" applyFill="1"/>
    <xf numFmtId="0" fontId="8" fillId="2" borderId="0" xfId="14" applyFont="1" applyFill="1" applyBorder="1" applyAlignment="1">
      <alignment horizontal="left" vertical="top" indent="1"/>
    </xf>
    <xf numFmtId="166" fontId="8" fillId="0" borderId="2" xfId="4" applyNumberFormat="1" applyFont="1" applyFill="1" applyBorder="1" applyAlignment="1">
      <alignment horizontal="right"/>
    </xf>
    <xf numFmtId="166" fontId="8" fillId="0" borderId="0" xfId="3" applyNumberFormat="1" applyFont="1" applyFill="1" applyBorder="1" applyAlignment="1">
      <alignment horizontal="right"/>
    </xf>
    <xf numFmtId="166" fontId="4" fillId="0" borderId="0" xfId="3" applyNumberFormat="1" applyFont="1" applyFill="1" applyBorder="1" applyAlignment="1">
      <alignment horizontal="right"/>
    </xf>
    <xf numFmtId="0" fontId="8" fillId="0" borderId="0" xfId="14" applyFont="1" applyFill="1" applyBorder="1" applyAlignment="1">
      <alignment horizontal="left" vertical="top"/>
    </xf>
    <xf numFmtId="0" fontId="4" fillId="0" borderId="0" xfId="14" applyFont="1" applyFill="1" applyBorder="1" applyAlignment="1">
      <alignment horizontal="right"/>
    </xf>
    <xf numFmtId="0" fontId="8" fillId="0" borderId="0" xfId="14" applyFont="1" applyFill="1" applyBorder="1" applyAlignment="1">
      <alignment horizontal="left" vertical="top" indent="1"/>
    </xf>
    <xf numFmtId="168" fontId="8" fillId="0" borderId="0" xfId="3" applyNumberFormat="1" applyFont="1" applyFill="1" applyBorder="1" applyAlignment="1">
      <alignment horizontal="right"/>
    </xf>
    <xf numFmtId="170" fontId="4" fillId="0" borderId="0" xfId="27" applyNumberFormat="1" applyFont="1" applyFill="1" applyBorder="1" applyAlignment="1">
      <alignment horizontal="right"/>
    </xf>
    <xf numFmtId="0" fontId="8" fillId="2" borderId="0" xfId="15" applyFont="1" applyFill="1"/>
    <xf numFmtId="0" fontId="4" fillId="2" borderId="0" xfId="15" applyFont="1" applyFill="1" applyBorder="1"/>
    <xf numFmtId="0" fontId="4" fillId="2" borderId="0" xfId="15" applyFont="1" applyFill="1" applyBorder="1" applyAlignment="1">
      <alignment horizontal="left" vertical="top"/>
    </xf>
    <xf numFmtId="0" fontId="8" fillId="2" borderId="0" xfId="15" applyFont="1" applyFill="1" applyBorder="1" applyAlignment="1">
      <alignment horizontal="left" vertical="top"/>
    </xf>
    <xf numFmtId="0" fontId="8" fillId="2" borderId="0" xfId="15" applyFont="1" applyFill="1" applyBorder="1" applyAlignment="1">
      <alignment horizontal="left" vertical="top" indent="1"/>
    </xf>
    <xf numFmtId="172" fontId="8" fillId="0" borderId="0" xfId="3" applyNumberFormat="1" applyFont="1" applyFill="1" applyBorder="1" applyAlignment="1">
      <alignment horizontal="right"/>
    </xf>
    <xf numFmtId="0" fontId="4" fillId="3" borderId="0" xfId="14" applyFont="1" applyFill="1"/>
    <xf numFmtId="170" fontId="8" fillId="4" borderId="0" xfId="28" applyNumberFormat="1" applyFont="1" applyFill="1" applyBorder="1" applyAlignment="1"/>
    <xf numFmtId="170" fontId="8" fillId="2" borderId="0" xfId="27" applyNumberFormat="1" applyFont="1" applyFill="1" applyAlignment="1"/>
    <xf numFmtId="0" fontId="28" fillId="2" borderId="0" xfId="14" applyFont="1" applyFill="1" applyBorder="1"/>
    <xf numFmtId="0" fontId="8" fillId="2" borderId="0" xfId="16" applyFont="1" applyFill="1" applyBorder="1" applyAlignment="1">
      <alignment horizontal="right"/>
    </xf>
    <xf numFmtId="0" fontId="12" fillId="2" borderId="0" xfId="14" applyFont="1" applyFill="1" applyBorder="1" applyAlignment="1"/>
    <xf numFmtId="0" fontId="4" fillId="2" borderId="0" xfId="14" applyFont="1" applyFill="1" applyBorder="1" applyAlignment="1"/>
    <xf numFmtId="168" fontId="8" fillId="2" borderId="0" xfId="16" applyNumberFormat="1" applyFont="1" applyFill="1" applyBorder="1"/>
    <xf numFmtId="0" fontId="8" fillId="2" borderId="0" xfId="14" applyFont="1" applyFill="1" applyBorder="1" applyAlignment="1"/>
    <xf numFmtId="166" fontId="8" fillId="3" borderId="5" xfId="16" applyNumberFormat="1" applyFont="1" applyFill="1" applyBorder="1"/>
    <xf numFmtId="166" fontId="8" fillId="2" borderId="0" xfId="16" applyNumberFormat="1" applyFont="1" applyFill="1" applyBorder="1"/>
    <xf numFmtId="166" fontId="4" fillId="3" borderId="0" xfId="16" applyNumberFormat="1" applyFont="1" applyFill="1" applyBorder="1"/>
    <xf numFmtId="170" fontId="8" fillId="3" borderId="0" xfId="29" applyNumberFormat="1" applyFont="1" applyFill="1" applyBorder="1" applyAlignment="1"/>
    <xf numFmtId="170" fontId="8" fillId="3" borderId="0" xfId="27" applyNumberFormat="1" applyFont="1" applyFill="1" applyBorder="1" applyAlignment="1"/>
    <xf numFmtId="166" fontId="8" fillId="3" borderId="0" xfId="16" applyNumberFormat="1" applyFont="1" applyFill="1" applyBorder="1"/>
    <xf numFmtId="0" fontId="8" fillId="2" borderId="0" xfId="14" applyFont="1" applyFill="1" applyBorder="1" applyAlignment="1">
      <alignment vertical="top"/>
    </xf>
    <xf numFmtId="166" fontId="8" fillId="3" borderId="2" xfId="16" applyNumberFormat="1" applyFont="1" applyFill="1" applyBorder="1"/>
    <xf numFmtId="168" fontId="4" fillId="2" borderId="0" xfId="14" applyNumberFormat="1" applyFont="1" applyFill="1" applyBorder="1"/>
    <xf numFmtId="168" fontId="8" fillId="3" borderId="0" xfId="16" applyNumberFormat="1" applyFont="1" applyFill="1" applyBorder="1"/>
    <xf numFmtId="173" fontId="8" fillId="2" borderId="0" xfId="16" applyNumberFormat="1" applyFont="1" applyFill="1" applyBorder="1" applyAlignment="1">
      <alignment horizontal="right"/>
    </xf>
    <xf numFmtId="166" fontId="8" fillId="2" borderId="0" xfId="14" applyNumberFormat="1" applyFont="1" applyFill="1" applyBorder="1"/>
    <xf numFmtId="0" fontId="29" fillId="2" borderId="0" xfId="14" applyFont="1" applyFill="1" applyBorder="1" applyAlignment="1">
      <alignment horizontal="justify" vertical="top"/>
    </xf>
    <xf numFmtId="0" fontId="30" fillId="2" borderId="0" xfId="14" applyFont="1" applyFill="1" applyBorder="1" applyAlignment="1">
      <alignment vertical="top"/>
    </xf>
    <xf numFmtId="0" fontId="4" fillId="2" borderId="0" xfId="14" applyFont="1" applyFill="1" applyBorder="1" applyAlignment="1">
      <alignment vertical="top"/>
    </xf>
    <xf numFmtId="0" fontId="31" fillId="2" borderId="0" xfId="14" applyFont="1" applyFill="1" applyBorder="1" applyAlignment="1">
      <alignment vertical="top"/>
    </xf>
    <xf numFmtId="0" fontId="31" fillId="3" borderId="0" xfId="14" applyFont="1" applyFill="1" applyBorder="1" applyAlignment="1">
      <alignment vertical="top"/>
    </xf>
    <xf numFmtId="0" fontId="8" fillId="3" borderId="0" xfId="14" applyFont="1" applyFill="1" applyBorder="1" applyAlignment="1"/>
    <xf numFmtId="0" fontId="32" fillId="3" borderId="0" xfId="14" applyFont="1" applyFill="1" applyBorder="1" applyAlignment="1">
      <alignment vertical="top"/>
    </xf>
    <xf numFmtId="0" fontId="4" fillId="3" borderId="0" xfId="14" applyFont="1" applyFill="1" applyBorder="1" applyAlignment="1"/>
    <xf numFmtId="166" fontId="4" fillId="3" borderId="1" xfId="16" applyNumberFormat="1" applyFont="1" applyFill="1" applyBorder="1"/>
    <xf numFmtId="0" fontId="33" fillId="2" borderId="0" xfId="14" applyFont="1" applyFill="1" applyBorder="1" applyAlignment="1">
      <alignment vertical="top"/>
    </xf>
    <xf numFmtId="0" fontId="34" fillId="2" borderId="0" xfId="14" applyFont="1" applyFill="1" applyBorder="1" applyAlignment="1">
      <alignment vertical="top"/>
    </xf>
    <xf numFmtId="0" fontId="12" fillId="2" borderId="0" xfId="14" applyFont="1" applyFill="1" applyBorder="1" applyAlignment="1">
      <alignment vertical="top"/>
    </xf>
    <xf numFmtId="174" fontId="4" fillId="2" borderId="0" xfId="28" applyNumberFormat="1" applyFont="1" applyFill="1" applyBorder="1" applyAlignment="1"/>
    <xf numFmtId="166" fontId="4" fillId="3" borderId="0" xfId="14" applyNumberFormat="1" applyFont="1" applyFill="1" applyBorder="1" applyAlignment="1"/>
    <xf numFmtId="166" fontId="4" fillId="4" borderId="0" xfId="14" applyNumberFormat="1" applyFont="1" applyFill="1" applyBorder="1" applyAlignment="1"/>
    <xf numFmtId="166" fontId="8" fillId="3" borderId="2" xfId="14" applyNumberFormat="1" applyFont="1" applyFill="1" applyBorder="1" applyAlignment="1"/>
    <xf numFmtId="166" fontId="8" fillId="3" borderId="0" xfId="14" applyNumberFormat="1" applyFont="1" applyFill="1" applyBorder="1" applyAlignment="1"/>
    <xf numFmtId="0" fontId="14" fillId="2" borderId="0" xfId="14" applyFont="1" applyFill="1" applyBorder="1" applyAlignment="1">
      <alignment vertical="top" wrapText="1"/>
    </xf>
    <xf numFmtId="49" fontId="8" fillId="2" borderId="0" xfId="14" applyNumberFormat="1" applyFont="1" applyFill="1" applyBorder="1" applyAlignment="1">
      <alignment vertical="top"/>
    </xf>
    <xf numFmtId="0" fontId="8" fillId="2" borderId="0" xfId="20" applyFont="1" applyFill="1" applyBorder="1" applyAlignment="1">
      <alignment horizontal="right"/>
    </xf>
    <xf numFmtId="0" fontId="8" fillId="0" borderId="0" xfId="14" applyFont="1" applyFill="1" applyBorder="1" applyAlignment="1">
      <alignment horizontal="left"/>
    </xf>
    <xf numFmtId="166" fontId="8" fillId="3" borderId="0" xfId="20" applyNumberFormat="1" applyFont="1" applyFill="1" applyBorder="1" applyAlignment="1"/>
    <xf numFmtId="166" fontId="4" fillId="0" borderId="0" xfId="14" applyNumberFormat="1" applyFont="1" applyFill="1" applyBorder="1" applyAlignment="1"/>
    <xf numFmtId="166" fontId="8" fillId="3" borderId="2" xfId="20" applyNumberFormat="1" applyFont="1" applyFill="1" applyBorder="1" applyAlignment="1"/>
    <xf numFmtId="0" fontId="8" fillId="3" borderId="0" xfId="20" applyFont="1" applyFill="1" applyBorder="1"/>
    <xf numFmtId="166" fontId="4" fillId="3" borderId="0" xfId="20" applyNumberFormat="1" applyFont="1" applyFill="1" applyBorder="1" applyAlignment="1"/>
    <xf numFmtId="166" fontId="8" fillId="0" borderId="0" xfId="14" applyNumberFormat="1" applyFont="1" applyFill="1" applyBorder="1" applyAlignment="1"/>
    <xf numFmtId="0" fontId="16" fillId="0" borderId="0" xfId="0" applyFont="1" applyBorder="1" applyAlignment="1"/>
    <xf numFmtId="166" fontId="8" fillId="3" borderId="0" xfId="20" applyNumberFormat="1" applyFont="1" applyFill="1" applyBorder="1" applyAlignment="1">
      <alignment vertical="center"/>
    </xf>
    <xf numFmtId="166" fontId="8" fillId="0" borderId="0" xfId="14" applyNumberFormat="1" applyFont="1" applyFill="1" applyBorder="1" applyAlignment="1">
      <alignment vertical="center"/>
    </xf>
    <xf numFmtId="0" fontId="8" fillId="0" borderId="6" xfId="0" applyFont="1" applyBorder="1" applyAlignment="1">
      <alignment horizontal="left"/>
    </xf>
    <xf numFmtId="0" fontId="16" fillId="0" borderId="4" xfId="0" applyFont="1" applyBorder="1" applyAlignment="1"/>
    <xf numFmtId="0" fontId="8" fillId="0" borderId="4" xfId="14" applyFont="1" applyFill="1" applyBorder="1"/>
    <xf numFmtId="166" fontId="8" fillId="3" borderId="4" xfId="20" applyNumberFormat="1" applyFont="1" applyFill="1" applyBorder="1" applyAlignment="1"/>
    <xf numFmtId="0" fontId="8" fillId="0" borderId="8" xfId="0" applyFont="1" applyBorder="1" applyAlignment="1">
      <alignment horizontal="left"/>
    </xf>
    <xf numFmtId="0" fontId="16" fillId="0" borderId="2" xfId="0" applyFont="1" applyBorder="1" applyAlignment="1"/>
    <xf numFmtId="0" fontId="8" fillId="0" borderId="2" xfId="14" applyFont="1" applyFill="1" applyBorder="1"/>
    <xf numFmtId="0" fontId="17" fillId="0" borderId="0" xfId="0" applyFont="1" applyBorder="1" applyAlignment="1"/>
    <xf numFmtId="0" fontId="29" fillId="0" borderId="0" xfId="14" applyFont="1" applyFill="1" applyBorder="1" applyAlignment="1">
      <alignment horizontal="left"/>
    </xf>
    <xf numFmtId="0" fontId="8" fillId="0" borderId="0" xfId="20" applyFont="1" applyFill="1" applyBorder="1" applyAlignment="1">
      <alignment horizontal="left"/>
    </xf>
    <xf numFmtId="0" fontId="4" fillId="0" borderId="0" xfId="14" applyFont="1" applyFill="1" applyBorder="1" applyAlignment="1">
      <alignment horizontal="left" vertical="top"/>
    </xf>
    <xf numFmtId="0" fontId="8" fillId="0" borderId="0" xfId="20" applyFont="1" applyFill="1" applyBorder="1" applyAlignment="1"/>
    <xf numFmtId="0" fontId="4" fillId="0" borderId="0" xfId="20" applyFont="1" applyFill="1" applyBorder="1" applyAlignment="1">
      <alignment horizontal="left" vertical="top"/>
    </xf>
    <xf numFmtId="0" fontId="8" fillId="0" borderId="0" xfId="20" applyFont="1" applyFill="1" applyBorder="1" applyAlignment="1">
      <alignment horizontal="left" vertical="top"/>
    </xf>
    <xf numFmtId="166" fontId="4" fillId="3" borderId="1" xfId="20" applyNumberFormat="1" applyFont="1" applyFill="1" applyBorder="1" applyAlignment="1"/>
    <xf numFmtId="0" fontId="8" fillId="0" borderId="0" xfId="14" applyFont="1" applyFill="1" applyBorder="1" applyAlignment="1">
      <alignment horizontal="justify" vertical="top"/>
    </xf>
    <xf numFmtId="49" fontId="8" fillId="0" borderId="0" xfId="14" applyNumberFormat="1" applyFont="1" applyFill="1" applyBorder="1" applyAlignment="1">
      <alignment vertical="top"/>
    </xf>
    <xf numFmtId="0" fontId="6" fillId="0" borderId="0" xfId="14" applyFont="1" applyFill="1" applyBorder="1"/>
    <xf numFmtId="0" fontId="28" fillId="3" borderId="0" xfId="14" applyFont="1" applyFill="1" applyBorder="1" applyAlignment="1">
      <alignment horizontal="left"/>
    </xf>
    <xf numFmtId="0" fontId="8" fillId="0" borderId="0" xfId="14" applyFont="1" applyFill="1" applyBorder="1" applyAlignment="1">
      <alignment horizontal="center" vertical="top" wrapText="1"/>
    </xf>
    <xf numFmtId="0" fontId="8" fillId="0" borderId="0" xfId="14" applyFont="1" applyFill="1" applyBorder="1" applyAlignment="1">
      <alignment horizontal="left" wrapText="1"/>
    </xf>
    <xf numFmtId="0" fontId="8" fillId="0" borderId="0" xfId="14" applyFont="1" applyFill="1" applyBorder="1" applyAlignment="1">
      <alignment horizontal="right" wrapText="1"/>
    </xf>
    <xf numFmtId="0" fontId="8" fillId="3" borderId="0" xfId="15" applyFont="1" applyFill="1" applyBorder="1" applyAlignment="1">
      <alignment horizontal="right" vertical="top" wrapText="1"/>
    </xf>
    <xf numFmtId="0" fontId="8" fillId="0" borderId="0" xfId="14" applyFont="1" applyFill="1" applyBorder="1" applyAlignment="1">
      <alignment horizontal="right" vertical="top" wrapText="1"/>
    </xf>
    <xf numFmtId="0" fontId="8" fillId="0" borderId="0" xfId="0" applyFont="1" applyAlignment="1"/>
    <xf numFmtId="0" fontId="8" fillId="3" borderId="0" xfId="9" applyFont="1" applyFill="1" applyAlignment="1">
      <alignment horizontal="right"/>
    </xf>
    <xf numFmtId="0" fontId="4" fillId="0" borderId="0" xfId="14" applyFont="1" applyFill="1" applyBorder="1" applyAlignment="1">
      <alignment vertical="top"/>
    </xf>
    <xf numFmtId="0" fontId="8" fillId="0" borderId="0" xfId="14" applyFont="1" applyFill="1" applyBorder="1" applyAlignment="1">
      <alignment horizontal="justify" vertical="top" wrapText="1"/>
    </xf>
    <xf numFmtId="0" fontId="8" fillId="0" borderId="0" xfId="14" applyFont="1" applyFill="1" applyBorder="1" applyAlignment="1">
      <alignment vertical="top"/>
    </xf>
    <xf numFmtId="166" fontId="8" fillId="3" borderId="0" xfId="15" applyNumberFormat="1" applyFont="1" applyFill="1" applyBorder="1" applyAlignment="1">
      <alignment horizontal="right"/>
    </xf>
    <xf numFmtId="166" fontId="8" fillId="3" borderId="2" xfId="15" applyNumberFormat="1" applyFont="1" applyFill="1" applyBorder="1" applyAlignment="1">
      <alignment horizontal="right"/>
    </xf>
    <xf numFmtId="166" fontId="8" fillId="3" borderId="2" xfId="14" applyNumberFormat="1" applyFont="1" applyFill="1" applyBorder="1" applyAlignment="1">
      <alignment horizontal="right"/>
    </xf>
    <xf numFmtId="0" fontId="15" fillId="0" borderId="0" xfId="0" applyFont="1" applyAlignment="1"/>
    <xf numFmtId="166" fontId="4" fillId="3" borderId="0" xfId="15" applyNumberFormat="1" applyFont="1" applyFill="1" applyBorder="1" applyAlignment="1">
      <alignment horizontal="right"/>
    </xf>
    <xf numFmtId="168" fontId="8" fillId="0" borderId="0" xfId="14" applyNumberFormat="1" applyFont="1" applyFill="1" applyBorder="1" applyAlignment="1">
      <alignment horizontal="justify" vertical="top" wrapText="1"/>
    </xf>
    <xf numFmtId="166" fontId="8" fillId="4" borderId="0" xfId="14" applyNumberFormat="1" applyFont="1" applyFill="1" applyBorder="1" applyAlignment="1">
      <alignment horizontal="right"/>
    </xf>
    <xf numFmtId="166" fontId="4" fillId="0" borderId="0" xfId="14" applyNumberFormat="1" applyFont="1" applyFill="1" applyBorder="1" applyAlignment="1">
      <alignment horizontal="right" vertical="top" wrapText="1"/>
    </xf>
    <xf numFmtId="168" fontId="4" fillId="0" borderId="0" xfId="14" applyNumberFormat="1" applyFont="1" applyFill="1" applyBorder="1" applyAlignment="1">
      <alignment horizontal="justify" vertical="top" wrapText="1"/>
    </xf>
    <xf numFmtId="0" fontId="15" fillId="3" borderId="0" xfId="0" applyFont="1" applyFill="1" applyAlignment="1"/>
    <xf numFmtId="0" fontId="4" fillId="3" borderId="0" xfId="14" applyFont="1" applyFill="1" applyBorder="1" applyAlignment="1">
      <alignment vertical="top"/>
    </xf>
    <xf numFmtId="0" fontId="4" fillId="0" borderId="0" xfId="14" applyFont="1" applyFill="1" applyBorder="1" applyAlignment="1">
      <alignment horizontal="left" vertical="top" wrapText="1"/>
    </xf>
    <xf numFmtId="168" fontId="8" fillId="0" borderId="0" xfId="14" applyNumberFormat="1" applyFont="1" applyFill="1" applyBorder="1" applyAlignment="1">
      <alignment horizontal="right" vertical="top" wrapText="1"/>
    </xf>
    <xf numFmtId="168" fontId="8" fillId="0" borderId="0" xfId="14" applyNumberFormat="1" applyFont="1" applyFill="1" applyBorder="1" applyAlignment="1">
      <alignment horizontal="center" vertical="top" wrapText="1"/>
    </xf>
    <xf numFmtId="0" fontId="8" fillId="0" borderId="0" xfId="14" applyFont="1" applyFill="1" applyAlignment="1">
      <alignment horizontal="center"/>
    </xf>
    <xf numFmtId="0" fontId="0" fillId="3" borderId="0" xfId="0" applyFill="1" applyAlignment="1"/>
    <xf numFmtId="0" fontId="8" fillId="0" borderId="0" xfId="14" applyFont="1" applyBorder="1"/>
    <xf numFmtId="0" fontId="4" fillId="0" borderId="0" xfId="14" applyFont="1" applyFill="1" applyAlignment="1">
      <alignment horizontal="center"/>
    </xf>
    <xf numFmtId="0" fontId="28" fillId="0" borderId="0" xfId="14" applyFont="1" applyFill="1" applyAlignment="1">
      <alignment horizontal="center"/>
    </xf>
    <xf numFmtId="0" fontId="8" fillId="2" borderId="0" xfId="17" applyFont="1" applyFill="1" applyBorder="1" applyAlignment="1">
      <alignment horizontal="right"/>
    </xf>
    <xf numFmtId="0" fontId="8" fillId="2" borderId="0" xfId="17" applyFont="1" applyFill="1" applyAlignment="1">
      <alignment horizontal="right"/>
    </xf>
    <xf numFmtId="0" fontId="4" fillId="0" borderId="0" xfId="14" applyFont="1" applyFill="1" applyAlignment="1">
      <alignment horizontal="right"/>
    </xf>
    <xf numFmtId="0" fontId="8" fillId="3" borderId="0" xfId="17" applyFont="1" applyFill="1" applyAlignment="1">
      <alignment horizontal="right"/>
    </xf>
    <xf numFmtId="0" fontId="8" fillId="3" borderId="0" xfId="14" applyFont="1" applyFill="1" applyAlignment="1">
      <alignment horizontal="right"/>
    </xf>
    <xf numFmtId="0" fontId="8" fillId="2" borderId="0" xfId="17" applyFont="1" applyFill="1" applyBorder="1"/>
    <xf numFmtId="0" fontId="8" fillId="2" borderId="0" xfId="17" applyFont="1" applyFill="1" applyAlignment="1"/>
    <xf numFmtId="0" fontId="8" fillId="3" borderId="0" xfId="17" applyFont="1" applyFill="1"/>
    <xf numFmtId="0" fontId="8" fillId="2" borderId="0" xfId="17" applyFont="1" applyFill="1"/>
    <xf numFmtId="166" fontId="8" fillId="2" borderId="0" xfId="17" applyNumberFormat="1" applyFont="1" applyFill="1" applyBorder="1"/>
    <xf numFmtId="166" fontId="8" fillId="2" borderId="0" xfId="17" applyNumberFormat="1" applyFont="1" applyFill="1" applyAlignment="1"/>
    <xf numFmtId="166" fontId="8" fillId="3" borderId="0" xfId="14" applyNumberFormat="1" applyFont="1" applyFill="1" applyAlignment="1"/>
    <xf numFmtId="170" fontId="8" fillId="3" borderId="0" xfId="27" applyNumberFormat="1" applyFont="1" applyFill="1" applyAlignment="1"/>
    <xf numFmtId="166" fontId="8" fillId="2" borderId="2" xfId="17" applyNumberFormat="1" applyFont="1" applyFill="1" applyBorder="1"/>
    <xf numFmtId="166" fontId="8" fillId="2" borderId="2" xfId="17" applyNumberFormat="1" applyFont="1" applyFill="1" applyBorder="1" applyAlignment="1"/>
    <xf numFmtId="170" fontId="8" fillId="3" borderId="2" xfId="27" applyNumberFormat="1" applyFont="1" applyFill="1" applyBorder="1" applyAlignment="1"/>
    <xf numFmtId="170" fontId="8" fillId="2" borderId="2" xfId="27" applyNumberFormat="1" applyFont="1" applyFill="1" applyBorder="1" applyAlignment="1"/>
    <xf numFmtId="166" fontId="4" fillId="2" borderId="0" xfId="17" applyNumberFormat="1" applyFont="1" applyFill="1" applyBorder="1"/>
    <xf numFmtId="166" fontId="4" fillId="3" borderId="0" xfId="14" applyNumberFormat="1" applyFont="1" applyFill="1" applyAlignment="1"/>
    <xf numFmtId="170" fontId="4" fillId="3" borderId="0" xfId="27" applyNumberFormat="1" applyFont="1" applyFill="1" applyAlignment="1"/>
    <xf numFmtId="170" fontId="4" fillId="2" borderId="0" xfId="27" applyNumberFormat="1" applyFont="1" applyFill="1" applyAlignment="1"/>
    <xf numFmtId="166" fontId="8" fillId="2" borderId="0" xfId="17" applyNumberFormat="1" applyFont="1" applyFill="1" applyBorder="1" applyAlignment="1"/>
    <xf numFmtId="170" fontId="8" fillId="2" borderId="0" xfId="27" applyNumberFormat="1" applyFont="1" applyFill="1" applyBorder="1" applyAlignment="1"/>
    <xf numFmtId="170" fontId="4" fillId="3" borderId="0" xfId="27" applyNumberFormat="1" applyFont="1" applyFill="1" applyBorder="1" applyAlignment="1"/>
    <xf numFmtId="166" fontId="4" fillId="2" borderId="0" xfId="17" applyNumberFormat="1" applyFont="1" applyFill="1" applyAlignment="1"/>
    <xf numFmtId="166" fontId="4" fillId="2" borderId="3" xfId="17" applyNumberFormat="1" applyFont="1" applyFill="1" applyBorder="1" applyAlignment="1"/>
    <xf numFmtId="166" fontId="4" fillId="3" borderId="3" xfId="14" applyNumberFormat="1" applyFont="1" applyFill="1" applyBorder="1" applyAlignment="1"/>
    <xf numFmtId="170" fontId="4" fillId="3" borderId="3" xfId="27" applyNumberFormat="1" applyFont="1" applyFill="1" applyBorder="1" applyAlignment="1"/>
    <xf numFmtId="170" fontId="4" fillId="2" borderId="3" xfId="27" applyNumberFormat="1" applyFont="1" applyFill="1" applyBorder="1" applyAlignment="1"/>
    <xf numFmtId="166" fontId="8" fillId="3" borderId="0" xfId="3" applyNumberFormat="1" applyFont="1" applyFill="1" applyBorder="1" applyAlignment="1"/>
    <xf numFmtId="166" fontId="8" fillId="4" borderId="0" xfId="3" applyNumberFormat="1" applyFont="1" applyFill="1" applyBorder="1" applyAlignment="1"/>
    <xf numFmtId="166" fontId="8" fillId="3" borderId="0" xfId="3" applyNumberFormat="1" applyFont="1" applyFill="1" applyAlignment="1"/>
    <xf numFmtId="166" fontId="8" fillId="4" borderId="0" xfId="3" applyNumberFormat="1" applyFont="1" applyFill="1" applyAlignment="1"/>
    <xf numFmtId="166" fontId="4" fillId="2" borderId="1" xfId="17" applyNumberFormat="1" applyFont="1" applyFill="1" applyBorder="1"/>
    <xf numFmtId="170" fontId="4" fillId="3" borderId="1" xfId="27" applyNumberFormat="1" applyFont="1" applyFill="1" applyBorder="1" applyAlignment="1"/>
    <xf numFmtId="170" fontId="4" fillId="2" borderId="1" xfId="27" applyNumberFormat="1" applyFont="1" applyFill="1" applyBorder="1" applyAlignment="1"/>
    <xf numFmtId="175" fontId="8" fillId="0" borderId="0" xfId="14" applyNumberFormat="1" applyFont="1" applyFill="1" applyBorder="1" applyAlignment="1"/>
    <xf numFmtId="175" fontId="4" fillId="3" borderId="0" xfId="14" applyNumberFormat="1" applyFont="1" applyFill="1" applyBorder="1" applyAlignment="1"/>
    <xf numFmtId="170" fontId="8" fillId="0" borderId="0" xfId="27" applyNumberFormat="1" applyFont="1" applyFill="1" applyBorder="1" applyAlignment="1"/>
    <xf numFmtId="170" fontId="4" fillId="0" borderId="0" xfId="27" applyNumberFormat="1" applyFont="1" applyFill="1" applyBorder="1" applyAlignment="1"/>
    <xf numFmtId="175" fontId="4" fillId="0" borderId="0" xfId="14" applyNumberFormat="1" applyFont="1" applyFill="1" applyBorder="1" applyAlignment="1"/>
    <xf numFmtId="175" fontId="8" fillId="0" borderId="0" xfId="14" applyNumberFormat="1" applyFont="1" applyFill="1" applyAlignment="1"/>
    <xf numFmtId="175" fontId="4" fillId="0" borderId="0" xfId="14" applyNumberFormat="1" applyFont="1" applyFill="1" applyAlignment="1"/>
    <xf numFmtId="0" fontId="8" fillId="0" borderId="0" xfId="14" applyFont="1" applyFill="1" applyAlignment="1">
      <alignment vertical="top"/>
    </xf>
    <xf numFmtId="0" fontId="8" fillId="0" borderId="0" xfId="14" applyFont="1" applyFill="1" applyAlignment="1">
      <alignment horizontal="left" vertical="top" wrapText="1"/>
    </xf>
    <xf numFmtId="0" fontId="8" fillId="0" borderId="0" xfId="14" applyFont="1" applyFill="1" applyAlignment="1"/>
    <xf numFmtId="0" fontId="4" fillId="0" borderId="0" xfId="14" applyFont="1" applyFill="1" applyAlignment="1"/>
    <xf numFmtId="0" fontId="4" fillId="0" borderId="0" xfId="14" applyFont="1" applyFill="1" applyBorder="1" applyAlignment="1">
      <alignment horizontal="center"/>
    </xf>
    <xf numFmtId="0" fontId="28" fillId="0" borderId="0" xfId="14" applyFont="1" applyFill="1" applyAlignment="1">
      <alignment horizontal="left"/>
    </xf>
    <xf numFmtId="0" fontId="8" fillId="3" borderId="0" xfId="18" applyFont="1" applyFill="1" applyAlignment="1">
      <alignment horizontal="right"/>
    </xf>
    <xf numFmtId="0" fontId="8" fillId="2" borderId="0" xfId="18" applyFont="1" applyFill="1" applyAlignment="1">
      <alignment horizontal="right"/>
    </xf>
    <xf numFmtId="0" fontId="4" fillId="0" borderId="0" xfId="17" applyFont="1" applyFill="1"/>
    <xf numFmtId="170" fontId="8" fillId="3" borderId="0" xfId="27" applyNumberFormat="1" applyFont="1" applyFill="1" applyBorder="1" applyAlignment="1">
      <alignment horizontal="right"/>
    </xf>
    <xf numFmtId="170" fontId="8" fillId="3" borderId="0" xfId="27" applyNumberFormat="1" applyFont="1" applyFill="1" applyAlignment="1">
      <alignment horizontal="right"/>
    </xf>
    <xf numFmtId="170" fontId="8" fillId="2" borderId="0" xfId="27" applyNumberFormat="1" applyFont="1" applyFill="1" applyAlignment="1">
      <alignment horizontal="right"/>
    </xf>
    <xf numFmtId="0" fontId="8" fillId="2" borderId="0" xfId="14" applyFont="1" applyFill="1" applyAlignment="1">
      <alignment horizontal="right"/>
    </xf>
    <xf numFmtId="0" fontId="4" fillId="0" borderId="0" xfId="19" applyFont="1" applyFill="1"/>
    <xf numFmtId="0" fontId="8" fillId="0" borderId="0" xfId="18" applyFont="1" applyFill="1"/>
    <xf numFmtId="0" fontId="4" fillId="0" borderId="0" xfId="18" applyFont="1" applyFill="1" applyBorder="1"/>
    <xf numFmtId="170" fontId="8" fillId="0" borderId="0" xfId="27" applyNumberFormat="1" applyFont="1" applyFill="1" applyAlignment="1">
      <alignment horizontal="right"/>
    </xf>
    <xf numFmtId="170" fontId="4" fillId="0" borderId="0" xfId="27" applyNumberFormat="1" applyFont="1" applyFill="1" applyAlignment="1">
      <alignment horizontal="right"/>
    </xf>
    <xf numFmtId="164" fontId="8" fillId="0" borderId="0" xfId="14" applyNumberFormat="1" applyFont="1" applyFill="1" applyAlignment="1">
      <alignment horizontal="right"/>
    </xf>
    <xf numFmtId="164" fontId="4" fillId="0" borderId="0" xfId="14" applyNumberFormat="1" applyFont="1" applyFill="1" applyAlignment="1">
      <alignment horizontal="right"/>
    </xf>
    <xf numFmtId="0" fontId="8" fillId="0" borderId="0" xfId="14" applyFont="1" applyFill="1" applyAlignment="1">
      <alignment horizontal="right"/>
    </xf>
    <xf numFmtId="0" fontId="8" fillId="2" borderId="0" xfId="14" applyFont="1" applyFill="1" applyAlignment="1"/>
    <xf numFmtId="0" fontId="8" fillId="0" borderId="0" xfId="14" applyFont="1" applyFill="1" applyBorder="1" applyAlignment="1">
      <alignment horizontal="justify" wrapText="1"/>
    </xf>
    <xf numFmtId="0" fontId="28" fillId="0" borderId="0" xfId="14" applyFont="1" applyFill="1" applyBorder="1" applyAlignment="1">
      <alignment horizontal="center"/>
    </xf>
    <xf numFmtId="0" fontId="8" fillId="0" borderId="0" xfId="14" applyFont="1" applyFill="1" applyAlignment="1">
      <alignment horizontal="center" wrapText="1"/>
    </xf>
    <xf numFmtId="0" fontId="8" fillId="3" borderId="0" xfId="18" applyFont="1" applyFill="1" applyAlignment="1">
      <alignment horizontal="justify" wrapText="1"/>
    </xf>
    <xf numFmtId="0" fontId="8" fillId="3" borderId="0" xfId="14" applyFont="1" applyFill="1" applyAlignment="1">
      <alignment horizontal="justify" wrapText="1"/>
    </xf>
    <xf numFmtId="0" fontId="8" fillId="2" borderId="0" xfId="18" applyFont="1" applyFill="1" applyAlignment="1">
      <alignment horizontal="justify" wrapText="1"/>
    </xf>
    <xf numFmtId="0" fontId="8" fillId="4" borderId="0" xfId="14" applyFont="1" applyFill="1" applyAlignment="1">
      <alignment horizontal="justify" wrapText="1"/>
    </xf>
    <xf numFmtId="0" fontId="8" fillId="0" borderId="0" xfId="14" applyFont="1" applyFill="1" applyAlignment="1">
      <alignment horizontal="justify" wrapText="1"/>
    </xf>
    <xf numFmtId="0" fontId="8" fillId="2" borderId="0" xfId="14" applyFont="1" applyFill="1" applyAlignment="1">
      <alignment horizontal="justify" wrapText="1"/>
    </xf>
    <xf numFmtId="166" fontId="4" fillId="3" borderId="3" xfId="3" applyNumberFormat="1" applyFont="1" applyFill="1" applyBorder="1" applyAlignment="1"/>
    <xf numFmtId="166" fontId="4" fillId="4" borderId="3" xfId="3" applyNumberFormat="1" applyFont="1" applyFill="1" applyBorder="1" applyAlignment="1"/>
    <xf numFmtId="166" fontId="8" fillId="3" borderId="0" xfId="18" applyNumberFormat="1" applyFont="1" applyFill="1" applyAlignment="1"/>
    <xf numFmtId="0" fontId="4" fillId="0" borderId="0" xfId="14" applyFont="1" applyFill="1" applyAlignment="1">
      <alignment horizontal="justify" wrapText="1"/>
    </xf>
    <xf numFmtId="0" fontId="8" fillId="0" borderId="0" xfId="17" applyFont="1" applyFill="1"/>
    <xf numFmtId="166" fontId="8" fillId="3" borderId="0" xfId="18" applyNumberFormat="1" applyFont="1" applyFill="1" applyBorder="1" applyAlignment="1"/>
    <xf numFmtId="166" fontId="8" fillId="2" borderId="0" xfId="14" applyNumberFormat="1" applyFont="1" applyFill="1" applyBorder="1" applyAlignment="1"/>
    <xf numFmtId="166" fontId="4" fillId="3" borderId="1" xfId="3" applyNumberFormat="1" applyFont="1" applyFill="1" applyBorder="1" applyAlignment="1"/>
    <xf numFmtId="166" fontId="4" fillId="4" borderId="1" xfId="3" applyNumberFormat="1" applyFont="1" applyFill="1" applyBorder="1" applyAlignment="1"/>
    <xf numFmtId="166" fontId="4" fillId="3" borderId="0" xfId="3" applyNumberFormat="1" applyFont="1" applyFill="1" applyBorder="1" applyAlignment="1"/>
    <xf numFmtId="166" fontId="8" fillId="2" borderId="0" xfId="3" applyNumberFormat="1" applyFont="1" applyFill="1" applyAlignment="1"/>
    <xf numFmtId="0" fontId="8" fillId="0" borderId="0" xfId="14" applyFont="1" applyFill="1" applyAlignment="1">
      <alignment horizontal="left" vertical="top"/>
    </xf>
    <xf numFmtId="0" fontId="8" fillId="0" borderId="0" xfId="14" applyFont="1" applyFill="1" applyAlignment="1">
      <alignment horizontal="left"/>
    </xf>
    <xf numFmtId="166" fontId="8" fillId="2" borderId="0" xfId="3" applyNumberFormat="1" applyFont="1" applyFill="1" applyBorder="1" applyAlignment="1"/>
    <xf numFmtId="0" fontId="4" fillId="0" borderId="0" xfId="14" applyFont="1" applyFill="1" applyAlignment="1">
      <alignment horizontal="left"/>
    </xf>
    <xf numFmtId="166" fontId="4" fillId="2" borderId="3" xfId="3" applyNumberFormat="1" applyFont="1" applyFill="1" applyBorder="1" applyAlignment="1"/>
    <xf numFmtId="166" fontId="4" fillId="2" borderId="0" xfId="3" applyNumberFormat="1" applyFont="1" applyFill="1" applyBorder="1" applyAlignment="1"/>
    <xf numFmtId="0" fontId="8" fillId="2" borderId="0" xfId="14" applyFont="1" applyFill="1" applyAlignment="1">
      <alignment horizontal="left"/>
    </xf>
    <xf numFmtId="166" fontId="8" fillId="2" borderId="0" xfId="18" applyNumberFormat="1" applyFont="1" applyFill="1" applyBorder="1"/>
    <xf numFmtId="166" fontId="8" fillId="2" borderId="0" xfId="18" applyNumberFormat="1" applyFont="1" applyFill="1" applyAlignment="1"/>
    <xf numFmtId="0" fontId="8" fillId="2" borderId="0" xfId="14" applyFont="1" applyFill="1" applyBorder="1" applyAlignment="1">
      <alignment horizontal="left"/>
    </xf>
    <xf numFmtId="166" fontId="8" fillId="2" borderId="0" xfId="18" applyNumberFormat="1" applyFont="1" applyFill="1" applyBorder="1" applyAlignment="1"/>
    <xf numFmtId="0" fontId="8" fillId="2" borderId="0" xfId="17" applyFont="1" applyFill="1" applyAlignment="1">
      <alignment horizontal="left"/>
    </xf>
    <xf numFmtId="166" fontId="4" fillId="2" borderId="1" xfId="3" applyNumberFormat="1" applyFont="1" applyFill="1" applyBorder="1" applyAlignment="1"/>
    <xf numFmtId="0" fontId="4" fillId="3" borderId="0" xfId="14" applyFont="1" applyFill="1" applyAlignment="1">
      <alignment horizontal="left"/>
    </xf>
    <xf numFmtId="0" fontId="4" fillId="3" borderId="0" xfId="14" applyFont="1" applyFill="1" applyAlignment="1">
      <alignment horizontal="justify" wrapText="1"/>
    </xf>
    <xf numFmtId="166" fontId="4" fillId="3" borderId="4" xfId="3" applyNumberFormat="1" applyFont="1" applyFill="1" applyBorder="1" applyAlignment="1"/>
    <xf numFmtId="0" fontId="4" fillId="0" borderId="0" xfId="14" applyFont="1" applyFill="1" applyBorder="1" applyAlignment="1">
      <alignment horizontal="justify" wrapText="1"/>
    </xf>
    <xf numFmtId="0" fontId="8" fillId="2" borderId="0" xfId="18" applyFont="1" applyFill="1" applyAlignment="1"/>
    <xf numFmtId="175" fontId="8" fillId="2" borderId="0" xfId="18" applyNumberFormat="1" applyFont="1" applyFill="1" applyBorder="1" applyAlignment="1"/>
    <xf numFmtId="0" fontId="4" fillId="0" borderId="0" xfId="14" applyFont="1" applyFill="1" applyAlignment="1">
      <alignment horizontal="left" indent="1"/>
    </xf>
    <xf numFmtId="167" fontId="8" fillId="3" borderId="0" xfId="3" applyNumberFormat="1" applyFont="1" applyFill="1" applyBorder="1" applyAlignment="1"/>
    <xf numFmtId="0" fontId="8" fillId="0" borderId="0" xfId="14" applyFont="1" applyFill="1" applyAlignment="1">
      <alignment horizontal="left" indent="1"/>
    </xf>
    <xf numFmtId="167" fontId="8" fillId="3" borderId="0" xfId="18" applyNumberFormat="1" applyFont="1" applyFill="1" applyBorder="1" applyAlignment="1"/>
    <xf numFmtId="167" fontId="8" fillId="3" borderId="0" xfId="14" applyNumberFormat="1" applyFont="1" applyFill="1" applyBorder="1" applyAlignment="1"/>
    <xf numFmtId="165" fontId="8" fillId="3" borderId="0" xfId="3" applyNumberFormat="1" applyFont="1" applyFill="1" applyBorder="1" applyAlignment="1"/>
    <xf numFmtId="165" fontId="8" fillId="0" borderId="0" xfId="3" applyNumberFormat="1" applyFont="1" applyFill="1" applyBorder="1" applyAlignment="1"/>
    <xf numFmtId="165" fontId="4" fillId="0" borderId="0" xfId="3" applyNumberFormat="1" applyFont="1" applyFill="1" applyBorder="1" applyAlignment="1"/>
    <xf numFmtId="165" fontId="8" fillId="0" borderId="0" xfId="3" applyNumberFormat="1" applyFont="1" applyFill="1" applyAlignment="1"/>
    <xf numFmtId="165" fontId="4" fillId="0" borderId="0" xfId="3" applyNumberFormat="1" applyFont="1" applyFill="1" applyAlignment="1"/>
    <xf numFmtId="0" fontId="4" fillId="2" borderId="0" xfId="14" applyFont="1" applyFill="1" applyBorder="1" applyAlignment="1">
      <alignment horizontal="center" vertical="center"/>
    </xf>
    <xf numFmtId="170" fontId="8" fillId="3" borderId="0" xfId="14" applyNumberFormat="1" applyFont="1" applyFill="1" applyBorder="1"/>
    <xf numFmtId="170" fontId="8" fillId="3" borderId="0" xfId="14" applyNumberFormat="1" applyFont="1" applyFill="1" applyBorder="1" applyAlignment="1"/>
    <xf numFmtId="170" fontId="8" fillId="2" borderId="0" xfId="14" applyNumberFormat="1" applyFont="1" applyFill="1" applyBorder="1" applyAlignment="1"/>
    <xf numFmtId="170" fontId="8" fillId="3" borderId="0" xfId="27" applyNumberFormat="1" applyFont="1" applyFill="1" applyBorder="1"/>
    <xf numFmtId="170" fontId="8" fillId="2" borderId="0" xfId="14" applyNumberFormat="1" applyFont="1" applyFill="1" applyBorder="1"/>
    <xf numFmtId="170" fontId="8" fillId="2" borderId="0" xfId="27" applyNumberFormat="1" applyFont="1" applyFill="1" applyBorder="1"/>
    <xf numFmtId="170" fontId="8" fillId="0" borderId="0" xfId="27" applyNumberFormat="1" applyFont="1" applyFill="1" applyBorder="1"/>
    <xf numFmtId="166" fontId="4" fillId="2" borderId="0" xfId="14" applyNumberFormat="1" applyFont="1" applyFill="1" applyBorder="1" applyAlignment="1"/>
    <xf numFmtId="170" fontId="4" fillId="2" borderId="0" xfId="27" applyNumberFormat="1" applyFont="1" applyFill="1" applyBorder="1"/>
    <xf numFmtId="175" fontId="8" fillId="2" borderId="0" xfId="14" applyNumberFormat="1" applyFont="1" applyFill="1" applyBorder="1" applyAlignment="1"/>
    <xf numFmtId="175" fontId="4" fillId="2" borderId="0" xfId="14" applyNumberFormat="1" applyFont="1" applyFill="1" applyBorder="1" applyAlignment="1"/>
    <xf numFmtId="0" fontId="8" fillId="2" borderId="0" xfId="18" applyFont="1" applyFill="1" applyBorder="1" applyAlignment="1">
      <alignment horizontal="justify" wrapText="1"/>
    </xf>
    <xf numFmtId="170" fontId="4" fillId="0" borderId="0" xfId="27" applyNumberFormat="1" applyFont="1" applyFill="1" applyBorder="1"/>
    <xf numFmtId="0" fontId="8" fillId="2" borderId="0" xfId="24" applyFont="1" applyFill="1" applyAlignment="1">
      <alignment horizontal="center" wrapText="1"/>
    </xf>
    <xf numFmtId="0" fontId="8" fillId="2" borderId="0" xfId="24" applyFont="1" applyFill="1" applyAlignment="1">
      <alignment horizontal="right" wrapText="1"/>
    </xf>
    <xf numFmtId="0" fontId="23" fillId="0" borderId="0" xfId="6" applyAlignment="1">
      <alignment vertical="center"/>
    </xf>
    <xf numFmtId="0" fontId="4" fillId="2" borderId="0" xfId="24" applyFont="1" applyFill="1" applyAlignment="1">
      <alignment horizontal="left" wrapText="1"/>
    </xf>
    <xf numFmtId="0" fontId="28" fillId="2" borderId="0" xfId="24" applyFont="1" applyFill="1" applyAlignment="1">
      <alignment horizontal="left"/>
    </xf>
    <xf numFmtId="0" fontId="8" fillId="2" borderId="6" xfId="26" applyFont="1" applyFill="1" applyBorder="1" applyAlignment="1">
      <alignment horizontal="right" wrapText="1"/>
    </xf>
    <xf numFmtId="0" fontId="8" fillId="2" borderId="4" xfId="26" applyFont="1" applyFill="1" applyBorder="1" applyAlignment="1">
      <alignment horizontal="right" wrapText="1"/>
    </xf>
    <xf numFmtId="0" fontId="8" fillId="2" borderId="7" xfId="26" applyFont="1" applyFill="1" applyBorder="1" applyAlignment="1">
      <alignment horizontal="right" wrapText="1"/>
    </xf>
    <xf numFmtId="0" fontId="8" fillId="2" borderId="0" xfId="24" applyFont="1" applyFill="1" applyAlignment="1">
      <alignment horizontal="left" wrapText="1"/>
    </xf>
    <xf numFmtId="2" fontId="8" fillId="2" borderId="6" xfId="25" applyNumberFormat="1" applyFont="1" applyFill="1" applyBorder="1" applyAlignment="1">
      <alignment horizontal="right" wrapText="1"/>
    </xf>
    <xf numFmtId="2" fontId="8" fillId="2" borderId="4" xfId="26" applyNumberFormat="1" applyFont="1" applyFill="1" applyBorder="1" applyAlignment="1">
      <alignment horizontal="right" wrapText="1"/>
    </xf>
    <xf numFmtId="2" fontId="8" fillId="2" borderId="7" xfId="26" applyNumberFormat="1" applyFont="1" applyFill="1" applyBorder="1" applyAlignment="1">
      <alignment horizontal="right" wrapText="1"/>
    </xf>
    <xf numFmtId="2" fontId="8" fillId="2" borderId="12" xfId="25" applyNumberFormat="1" applyFont="1" applyFill="1" applyBorder="1" applyAlignment="1">
      <alignment horizontal="right" wrapText="1"/>
    </xf>
    <xf numFmtId="2" fontId="8" fillId="2" borderId="0" xfId="26" applyNumberFormat="1" applyFont="1" applyFill="1" applyBorder="1" applyAlignment="1">
      <alignment horizontal="right" wrapText="1"/>
    </xf>
    <xf numFmtId="2" fontId="8" fillId="2" borderId="13" xfId="26" applyNumberFormat="1" applyFont="1" applyFill="1" applyBorder="1" applyAlignment="1">
      <alignment horizontal="right" wrapText="1"/>
    </xf>
    <xf numFmtId="2" fontId="8" fillId="2" borderId="8" xfId="25" applyNumberFormat="1" applyFont="1" applyFill="1" applyBorder="1" applyAlignment="1">
      <alignment horizontal="right" wrapText="1"/>
    </xf>
    <xf numFmtId="2" fontId="8" fillId="2" borderId="2" xfId="26" applyNumberFormat="1" applyFont="1" applyFill="1" applyBorder="1" applyAlignment="1">
      <alignment horizontal="right" wrapText="1"/>
    </xf>
    <xf numFmtId="2" fontId="8" fillId="2" borderId="9" xfId="26" applyNumberFormat="1" applyFont="1" applyFill="1" applyBorder="1" applyAlignment="1">
      <alignment horizontal="right" wrapText="1"/>
    </xf>
    <xf numFmtId="0" fontId="8" fillId="2" borderId="15" xfId="26" applyFont="1" applyFill="1" applyBorder="1" applyAlignment="1">
      <alignment horizontal="right" wrapText="1"/>
    </xf>
    <xf numFmtId="0" fontId="8" fillId="2" borderId="3" xfId="26" applyFont="1" applyFill="1" applyBorder="1" applyAlignment="1">
      <alignment horizontal="right" wrapText="1"/>
    </xf>
    <xf numFmtId="0" fontId="8" fillId="2" borderId="16" xfId="26" applyFont="1" applyFill="1" applyBorder="1" applyAlignment="1">
      <alignment horizontal="right" wrapText="1"/>
    </xf>
    <xf numFmtId="2" fontId="8" fillId="2" borderId="4" xfId="25" applyNumberFormat="1" applyFont="1" applyFill="1" applyBorder="1" applyAlignment="1">
      <alignment horizontal="right" wrapText="1"/>
    </xf>
    <xf numFmtId="0" fontId="8" fillId="0" borderId="0" xfId="8" applyFont="1" applyBorder="1" applyAlignment="1">
      <alignment vertical="center"/>
    </xf>
    <xf numFmtId="2" fontId="8" fillId="2" borderId="0" xfId="25" applyNumberFormat="1" applyFont="1" applyFill="1" applyBorder="1" applyAlignment="1">
      <alignment horizontal="right" wrapText="1"/>
    </xf>
    <xf numFmtId="0" fontId="8" fillId="2" borderId="0" xfId="26" applyFont="1" applyFill="1" applyBorder="1" applyAlignment="1">
      <alignment horizontal="right" wrapText="1"/>
    </xf>
    <xf numFmtId="0" fontId="8" fillId="2" borderId="13" xfId="26" applyFont="1" applyFill="1" applyBorder="1" applyAlignment="1">
      <alignment horizontal="right" wrapText="1"/>
    </xf>
    <xf numFmtId="2" fontId="8" fillId="2" borderId="2" xfId="25" applyNumberFormat="1" applyFont="1" applyFill="1" applyBorder="1" applyAlignment="1">
      <alignment horizontal="right" wrapText="1"/>
    </xf>
    <xf numFmtId="0" fontId="8" fillId="2" borderId="9" xfId="26" applyFont="1" applyFill="1" applyBorder="1" applyAlignment="1">
      <alignment horizontal="right" wrapText="1"/>
    </xf>
    <xf numFmtId="0" fontId="8" fillId="0" borderId="2" xfId="8" applyFont="1" applyBorder="1" applyAlignment="1">
      <alignment vertical="center"/>
    </xf>
    <xf numFmtId="0" fontId="8" fillId="2" borderId="2" xfId="26" applyFont="1" applyFill="1" applyBorder="1" applyAlignment="1">
      <alignment horizontal="right" wrapText="1"/>
    </xf>
    <xf numFmtId="0" fontId="8" fillId="2" borderId="0" xfId="26" applyFont="1" applyFill="1" applyAlignment="1">
      <alignment horizontal="center" wrapText="1"/>
    </xf>
    <xf numFmtId="0" fontId="8" fillId="2" borderId="10" xfId="26" applyFont="1" applyFill="1" applyBorder="1" applyAlignment="1">
      <alignment horizontal="right" wrapText="1"/>
    </xf>
    <xf numFmtId="2" fontId="8" fillId="2" borderId="11" xfId="26" applyNumberFormat="1" applyFont="1" applyFill="1" applyBorder="1" applyAlignment="1">
      <alignment horizontal="right" wrapText="1"/>
    </xf>
    <xf numFmtId="2" fontId="8" fillId="2" borderId="14" xfId="26" applyNumberFormat="1" applyFont="1" applyFill="1" applyBorder="1" applyAlignment="1">
      <alignment horizontal="right" wrapText="1"/>
    </xf>
    <xf numFmtId="0" fontId="0" fillId="0" borderId="0" xfId="11" applyFont="1" applyAlignment="1">
      <alignment vertical="center"/>
    </xf>
    <xf numFmtId="0" fontId="8" fillId="0" borderId="0" xfId="22" applyFont="1" applyFill="1"/>
    <xf numFmtId="0" fontId="8" fillId="2" borderId="0" xfId="23" applyFont="1" applyFill="1" applyAlignment="1">
      <alignment horizontal="left" vertical="top" wrapText="1" indent="1"/>
    </xf>
    <xf numFmtId="0" fontId="8" fillId="2" borderId="0" xfId="23" applyFont="1" applyFill="1" applyAlignment="1" applyProtection="1">
      <alignment horizontal="left" vertical="top" wrapText="1" indent="1"/>
      <protection locked="0"/>
    </xf>
    <xf numFmtId="0" fontId="8" fillId="0" borderId="0" xfId="22" applyFont="1"/>
    <xf numFmtId="168" fontId="8" fillId="0" borderId="0" xfId="14" applyNumberFormat="1" applyFont="1" applyFill="1"/>
    <xf numFmtId="170" fontId="8" fillId="2" borderId="0" xfId="27" applyNumberFormat="1" applyFont="1" applyFill="1" applyAlignment="1"/>
    <xf numFmtId="0" fontId="8" fillId="2" borderId="0" xfId="14" applyFont="1" applyFill="1" applyBorder="1"/>
    <xf numFmtId="0" fontId="24" fillId="0" borderId="0" xfId="5" applyFont="1" applyBorder="1">
      <protection locked="0"/>
    </xf>
    <xf numFmtId="49" fontId="8" fillId="2" borderId="0" xfId="14" applyNumberFormat="1" applyFont="1" applyFill="1" applyBorder="1" applyAlignment="1">
      <alignment horizontal="left" vertical="top"/>
    </xf>
    <xf numFmtId="166" fontId="8" fillId="2" borderId="0" xfId="27" applyNumberFormat="1" applyFont="1" applyFill="1" applyBorder="1" applyAlignment="1"/>
    <xf numFmtId="0" fontId="8" fillId="3" borderId="0" xfId="14" applyFont="1" applyFill="1" applyBorder="1" applyAlignment="1">
      <alignment horizontal="center" vertical="top" wrapText="1"/>
    </xf>
    <xf numFmtId="0" fontId="8" fillId="2" borderId="2" xfId="20" applyFont="1" applyFill="1" applyBorder="1" applyAlignment="1">
      <alignment horizontal="right"/>
    </xf>
    <xf numFmtId="0" fontId="8" fillId="0" borderId="2" xfId="14" applyFont="1" applyFill="1" applyBorder="1" applyAlignment="1">
      <alignment horizontal="right"/>
    </xf>
    <xf numFmtId="168" fontId="8" fillId="0" borderId="2" xfId="14" applyNumberFormat="1" applyFont="1" applyFill="1" applyBorder="1"/>
    <xf numFmtId="166" fontId="8" fillId="0" borderId="12" xfId="14" applyNumberFormat="1" applyFont="1" applyFill="1" applyBorder="1" applyAlignment="1"/>
    <xf numFmtId="49" fontId="8" fillId="0" borderId="0" xfId="14" applyNumberFormat="1" applyFont="1" applyFill="1" applyBorder="1" applyAlignment="1"/>
    <xf numFmtId="0" fontId="8" fillId="0" borderId="0" xfId="14" applyFont="1" applyFill="1" applyBorder="1"/>
    <xf numFmtId="0" fontId="8" fillId="0" borderId="0" xfId="14" applyFont="1" applyFill="1" applyAlignment="1">
      <alignment horizontal="left" vertical="top" wrapText="1"/>
    </xf>
    <xf numFmtId="0" fontId="8" fillId="0" borderId="0" xfId="14" applyFont="1" applyFill="1" applyAlignment="1">
      <alignment horizontal="left" vertical="top"/>
    </xf>
    <xf numFmtId="0" fontId="8" fillId="0" borderId="0" xfId="14" applyFont="1" applyFill="1" applyBorder="1" applyAlignment="1"/>
    <xf numFmtId="0" fontId="8" fillId="0" borderId="0" xfId="14" applyFont="1" applyFill="1" applyBorder="1"/>
    <xf numFmtId="0" fontId="4" fillId="0" borderId="0" xfId="14" applyFont="1" applyFill="1" applyBorder="1" applyAlignment="1">
      <alignment horizontal="center"/>
    </xf>
    <xf numFmtId="0" fontId="8" fillId="0" borderId="0" xfId="14" applyFont="1" applyFill="1" applyBorder="1" applyAlignment="1">
      <alignment horizontal="center" wrapText="1"/>
    </xf>
    <xf numFmtId="166" fontId="8" fillId="5" borderId="0" xfId="3" applyNumberFormat="1" applyFont="1" applyFill="1" applyAlignment="1"/>
    <xf numFmtId="166" fontId="4" fillId="5" borderId="3" xfId="3" applyNumberFormat="1" applyFont="1" applyFill="1" applyBorder="1" applyAlignment="1"/>
    <xf numFmtId="0" fontId="8" fillId="5" borderId="0" xfId="14" applyFont="1" applyFill="1" applyAlignment="1">
      <alignment horizontal="right"/>
    </xf>
    <xf numFmtId="0" fontId="8" fillId="5" borderId="0" xfId="14" applyFont="1" applyFill="1" applyAlignment="1">
      <alignment horizontal="justify" wrapText="1"/>
    </xf>
    <xf numFmtId="166" fontId="4" fillId="5" borderId="0" xfId="3" applyNumberFormat="1" applyFont="1" applyFill="1" applyBorder="1" applyAlignment="1"/>
    <xf numFmtId="166" fontId="8" fillId="5" borderId="0" xfId="14" applyNumberFormat="1" applyFont="1" applyFill="1" applyBorder="1" applyAlignment="1"/>
    <xf numFmtId="166" fontId="4" fillId="5" borderId="1" xfId="3" applyNumberFormat="1" applyFont="1" applyFill="1" applyBorder="1" applyAlignment="1"/>
    <xf numFmtId="166" fontId="8" fillId="5" borderId="0" xfId="14" applyNumberFormat="1" applyFont="1" applyFill="1" applyAlignment="1"/>
    <xf numFmtId="170" fontId="4" fillId="3" borderId="0" xfId="14" applyNumberFormat="1" applyFont="1" applyFill="1" applyBorder="1"/>
    <xf numFmtId="170" fontId="4" fillId="3" borderId="0" xfId="14" applyNumberFormat="1" applyFont="1" applyFill="1" applyBorder="1" applyAlignment="1"/>
    <xf numFmtId="170" fontId="4" fillId="2" borderId="0" xfId="14" applyNumberFormat="1" applyFont="1" applyFill="1" applyBorder="1" applyAlignment="1"/>
    <xf numFmtId="170" fontId="4" fillId="3" borderId="0" xfId="27" applyNumberFormat="1" applyFont="1" applyFill="1" applyBorder="1"/>
    <xf numFmtId="0" fontId="8" fillId="2" borderId="0" xfId="14" applyFont="1" applyFill="1"/>
    <xf numFmtId="0" fontId="8" fillId="0" borderId="0" xfId="14" applyFont="1" applyFill="1" applyBorder="1"/>
    <xf numFmtId="166" fontId="4" fillId="5" borderId="0" xfId="14" applyNumberFormat="1" applyFont="1" applyFill="1" applyAlignment="1"/>
    <xf numFmtId="166" fontId="4" fillId="5" borderId="3" xfId="14" applyNumberFormat="1" applyFont="1" applyFill="1" applyBorder="1" applyAlignment="1"/>
    <xf numFmtId="166" fontId="8" fillId="5" borderId="0" xfId="17" applyNumberFormat="1" applyFont="1" applyFill="1" applyBorder="1"/>
    <xf numFmtId="166" fontId="4" fillId="5" borderId="3" xfId="17" applyNumberFormat="1" applyFont="1" applyFill="1" applyBorder="1" applyAlignment="1"/>
    <xf numFmtId="166" fontId="4" fillId="5" borderId="1" xfId="17" applyNumberFormat="1" applyFont="1" applyFill="1" applyBorder="1"/>
    <xf numFmtId="0" fontId="8" fillId="5" borderId="0" xfId="17" applyFont="1" applyFill="1" applyAlignment="1">
      <alignment horizontal="right"/>
    </xf>
    <xf numFmtId="0" fontId="8" fillId="5" borderId="0" xfId="17" applyFont="1" applyFill="1" applyAlignment="1"/>
    <xf numFmtId="0" fontId="0" fillId="0" borderId="0" xfId="0" applyAlignment="1"/>
    <xf numFmtId="0" fontId="8" fillId="0" borderId="0" xfId="15" applyFont="1" applyFill="1" applyBorder="1" applyAlignment="1">
      <alignment horizontal="right" vertical="top" wrapText="1"/>
    </xf>
    <xf numFmtId="0" fontId="8" fillId="0" borderId="0" xfId="9" applyFont="1" applyFill="1" applyAlignment="1">
      <alignment horizontal="right"/>
    </xf>
    <xf numFmtId="166" fontId="8" fillId="0" borderId="0" xfId="15" applyNumberFormat="1" applyFont="1" applyFill="1" applyBorder="1" applyAlignment="1">
      <alignment horizontal="right"/>
    </xf>
    <xf numFmtId="166" fontId="8" fillId="0" borderId="2" xfId="15" applyNumberFormat="1" applyFont="1" applyFill="1" applyBorder="1" applyAlignment="1">
      <alignment horizontal="right"/>
    </xf>
    <xf numFmtId="166" fontId="4" fillId="0" borderId="0" xfId="15" applyNumberFormat="1" applyFont="1" applyFill="1" applyBorder="1" applyAlignment="1">
      <alignment horizontal="right"/>
    </xf>
    <xf numFmtId="166" fontId="4" fillId="0" borderId="1" xfId="15" applyNumberFormat="1" applyFont="1" applyFill="1" applyBorder="1" applyAlignment="1">
      <alignment horizontal="right"/>
    </xf>
    <xf numFmtId="0" fontId="0" fillId="0" borderId="0" xfId="0" applyFill="1" applyAlignment="1"/>
    <xf numFmtId="166" fontId="8" fillId="0" borderId="0" xfId="14" applyNumberFormat="1" applyFont="1" applyFill="1" applyBorder="1" applyAlignment="1">
      <alignment horizontal="right" vertical="top" wrapText="1"/>
    </xf>
    <xf numFmtId="0" fontId="0" fillId="0" borderId="0" xfId="0" applyFill="1"/>
    <xf numFmtId="0" fontId="8" fillId="0" borderId="0" xfId="0" applyFont="1" applyFill="1" applyAlignment="1"/>
    <xf numFmtId="0" fontId="15" fillId="0" borderId="0" xfId="0" applyFont="1" applyFill="1" applyAlignment="1"/>
    <xf numFmtId="166" fontId="4" fillId="0" borderId="4" xfId="15" applyNumberFormat="1" applyFont="1" applyFill="1" applyBorder="1" applyAlignment="1">
      <alignment horizontal="right"/>
    </xf>
    <xf numFmtId="0" fontId="4" fillId="0" borderId="0" xfId="14" applyFont="1" applyFill="1" applyBorder="1" applyAlignment="1">
      <alignment horizontal="left" vertical="top" indent="1"/>
    </xf>
    <xf numFmtId="170" fontId="8" fillId="0" borderId="0" xfId="28" applyNumberFormat="1" applyFont="1" applyFill="1" applyBorder="1" applyAlignment="1">
      <alignment horizontal="right"/>
    </xf>
    <xf numFmtId="170" fontId="8" fillId="0" borderId="0" xfId="29" applyNumberFormat="1" applyFont="1" applyFill="1" applyBorder="1" applyAlignment="1"/>
    <xf numFmtId="171" fontId="8" fillId="0" borderId="0" xfId="29" applyNumberFormat="1" applyFont="1" applyFill="1" applyBorder="1" applyAlignment="1">
      <alignment horizontal="right"/>
    </xf>
    <xf numFmtId="171" fontId="4" fillId="0" borderId="0" xfId="29" applyNumberFormat="1" applyFont="1" applyFill="1" applyBorder="1" applyAlignment="1">
      <alignment horizontal="right"/>
    </xf>
    <xf numFmtId="171" fontId="4" fillId="0" borderId="0" xfId="15" applyNumberFormat="1" applyFont="1" applyFill="1" applyAlignment="1">
      <alignment horizontal="right"/>
    </xf>
    <xf numFmtId="171" fontId="8" fillId="0" borderId="0" xfId="27" applyNumberFormat="1" applyFont="1" applyFill="1" applyBorder="1" applyAlignment="1">
      <alignment horizontal="right"/>
    </xf>
    <xf numFmtId="168" fontId="8" fillId="0" borderId="0" xfId="14" applyNumberFormat="1" applyFont="1" applyFill="1" applyBorder="1" applyAlignment="1">
      <alignment horizontal="center"/>
    </xf>
    <xf numFmtId="0" fontId="11" fillId="0" borderId="0" xfId="7" applyFont="1" applyFill="1" applyBorder="1" applyAlignment="1">
      <alignment horizontal="left"/>
    </xf>
    <xf numFmtId="0" fontId="8" fillId="0" borderId="0" xfId="15" applyFont="1" applyFill="1" applyBorder="1" applyAlignment="1">
      <alignment horizontal="right"/>
    </xf>
    <xf numFmtId="168" fontId="4" fillId="0" borderId="0" xfId="27" applyNumberFormat="1" applyFont="1" applyFill="1" applyBorder="1" applyAlignment="1">
      <alignment horizontal="right"/>
    </xf>
    <xf numFmtId="166" fontId="8" fillId="0" borderId="0" xfId="27" applyNumberFormat="1" applyFont="1" applyFill="1" applyBorder="1" applyAlignment="1">
      <alignment horizontal="right"/>
    </xf>
    <xf numFmtId="166" fontId="8" fillId="0" borderId="0" xfId="27" applyNumberFormat="1" applyFont="1" applyFill="1" applyBorder="1" applyAlignment="1"/>
    <xf numFmtId="0" fontId="8" fillId="0" borderId="0" xfId="7" applyFont="1" applyFill="1" applyAlignment="1">
      <alignment horizontal="right"/>
    </xf>
    <xf numFmtId="168" fontId="8" fillId="0" borderId="0" xfId="15" applyNumberFormat="1" applyFont="1" applyFill="1" applyBorder="1"/>
    <xf numFmtId="0" fontId="35" fillId="0" borderId="0" xfId="12" applyFont="1" applyFill="1"/>
    <xf numFmtId="166" fontId="8" fillId="0" borderId="0" xfId="4" applyNumberFormat="1" applyFont="1" applyFill="1" applyBorder="1" applyAlignment="1">
      <alignment horizontal="right"/>
    </xf>
    <xf numFmtId="166" fontId="4" fillId="0" borderId="0" xfId="4" applyNumberFormat="1" applyFont="1" applyFill="1" applyBorder="1" applyAlignment="1">
      <alignment horizontal="right"/>
    </xf>
    <xf numFmtId="166" fontId="8" fillId="0" borderId="2" xfId="3" applyNumberFormat="1" applyFont="1" applyFill="1" applyBorder="1" applyAlignment="1">
      <alignment horizontal="right"/>
    </xf>
    <xf numFmtId="168" fontId="8" fillId="0" borderId="0" xfId="15" applyNumberFormat="1" applyFont="1" applyFill="1" applyBorder="1" applyAlignment="1">
      <alignment horizontal="right"/>
    </xf>
    <xf numFmtId="166" fontId="4" fillId="0" borderId="1" xfId="4" applyNumberFormat="1" applyFont="1" applyFill="1" applyBorder="1" applyAlignment="1">
      <alignment horizontal="right"/>
    </xf>
    <xf numFmtId="168" fontId="8" fillId="0" borderId="0" xfId="4" applyNumberFormat="1" applyFont="1" applyFill="1" applyBorder="1" applyAlignment="1">
      <alignment horizontal="right"/>
    </xf>
    <xf numFmtId="166" fontId="4" fillId="0" borderId="4" xfId="4" applyNumberFormat="1" applyFont="1" applyFill="1" applyBorder="1" applyAlignment="1">
      <alignment horizontal="right"/>
    </xf>
    <xf numFmtId="166" fontId="4" fillId="0" borderId="4" xfId="3" applyNumberFormat="1" applyFont="1" applyFill="1" applyBorder="1" applyAlignment="1">
      <alignment horizontal="right"/>
    </xf>
    <xf numFmtId="166" fontId="8" fillId="0" borderId="0" xfId="29" applyNumberFormat="1" applyFont="1" applyFill="1" applyBorder="1" applyAlignment="1">
      <alignment horizontal="right"/>
    </xf>
    <xf numFmtId="172" fontId="8" fillId="0" borderId="0" xfId="4" applyNumberFormat="1" applyFont="1" applyFill="1" applyBorder="1" applyAlignment="1">
      <alignment horizontal="right"/>
    </xf>
    <xf numFmtId="0" fontId="4" fillId="0" borderId="0" xfId="14" applyFont="1" applyFill="1" applyBorder="1" applyAlignment="1">
      <alignment wrapText="1"/>
    </xf>
    <xf numFmtId="0" fontId="8" fillId="0" borderId="0" xfId="14" applyFont="1" applyFill="1" applyBorder="1" applyAlignment="1">
      <alignment horizontal="center"/>
    </xf>
    <xf numFmtId="0" fontId="8" fillId="0" borderId="0" xfId="6" applyFont="1" applyFill="1" applyAlignment="1">
      <alignment horizontal="right"/>
    </xf>
    <xf numFmtId="164" fontId="8" fillId="0" borderId="0" xfId="3" applyNumberFormat="1" applyFont="1" applyFill="1" applyBorder="1" applyAlignment="1"/>
    <xf numFmtId="166" fontId="8" fillId="0" borderId="0" xfId="14" applyNumberFormat="1" applyFont="1" applyFill="1" applyBorder="1"/>
    <xf numFmtId="166" fontId="4" fillId="0" borderId="1" xfId="14" applyNumberFormat="1" applyFont="1" applyFill="1" applyBorder="1"/>
    <xf numFmtId="166" fontId="8" fillId="0" borderId="0" xfId="2" applyNumberFormat="1" applyFont="1" applyFill="1"/>
    <xf numFmtId="166" fontId="8" fillId="0" borderId="0" xfId="2" applyNumberFormat="1" applyFont="1" applyFill="1" applyBorder="1"/>
    <xf numFmtId="166" fontId="4" fillId="0" borderId="1" xfId="3" applyNumberFormat="1" applyFont="1" applyFill="1" applyBorder="1" applyAlignment="1">
      <alignment horizontal="right"/>
    </xf>
    <xf numFmtId="166" fontId="8" fillId="0" borderId="2" xfId="2" applyNumberFormat="1" applyFont="1" applyFill="1" applyBorder="1"/>
    <xf numFmtId="166" fontId="4" fillId="0" borderId="3" xfId="3" applyNumberFormat="1" applyFont="1" applyFill="1" applyBorder="1" applyAlignment="1">
      <alignment horizontal="right"/>
    </xf>
    <xf numFmtId="166" fontId="4" fillId="0" borderId="3" xfId="2" applyNumberFormat="1" applyFont="1" applyFill="1" applyBorder="1"/>
    <xf numFmtId="166" fontId="10" fillId="0" borderId="0" xfId="8" applyNumberFormat="1" applyFont="1" applyFill="1"/>
    <xf numFmtId="168" fontId="8" fillId="0" borderId="0" xfId="3" applyNumberFormat="1" applyFont="1" applyFill="1" applyBorder="1" applyAlignment="1"/>
    <xf numFmtId="166" fontId="4" fillId="0" borderId="0" xfId="14" applyNumberFormat="1" applyFont="1" applyFill="1"/>
    <xf numFmtId="0" fontId="8" fillId="0" borderId="0" xfId="14" applyFont="1" applyFill="1" applyBorder="1"/>
    <xf numFmtId="0" fontId="4" fillId="0" borderId="0" xfId="14" applyFont="1" applyFill="1" applyBorder="1" applyAlignment="1"/>
    <xf numFmtId="0" fontId="0" fillId="0" borderId="0" xfId="0" applyAlignment="1">
      <alignment wrapText="1"/>
    </xf>
    <xf numFmtId="0" fontId="8" fillId="0" borderId="0" xfId="14" applyNumberFormat="1" applyFont="1" applyFill="1" applyBorder="1" applyAlignment="1">
      <alignment vertical="top" wrapText="1"/>
    </xf>
    <xf numFmtId="0" fontId="0" fillId="0" borderId="0" xfId="0" applyAlignment="1">
      <alignment vertical="top" wrapText="1"/>
    </xf>
    <xf numFmtId="0" fontId="0" fillId="0" borderId="0" xfId="0" applyFill="1" applyAlignment="1">
      <alignment vertical="top" wrapText="1"/>
    </xf>
    <xf numFmtId="0" fontId="8" fillId="0" borderId="0" xfId="14" applyFont="1" applyFill="1" applyBorder="1" applyAlignment="1"/>
    <xf numFmtId="0" fontId="8" fillId="2" borderId="0" xfId="14" applyFont="1" applyFill="1" applyBorder="1" applyAlignment="1">
      <alignment horizontal="left" vertical="top"/>
    </xf>
    <xf numFmtId="0" fontId="8" fillId="0" borderId="0" xfId="14" applyFont="1" applyFill="1" applyBorder="1" applyAlignment="1">
      <alignment horizontal="left" vertical="top" wrapText="1"/>
    </xf>
    <xf numFmtId="0" fontId="8" fillId="0" borderId="0" xfId="14" applyFont="1" applyFill="1" applyBorder="1" applyAlignment="1">
      <alignment horizontal="left"/>
    </xf>
    <xf numFmtId="0" fontId="0" fillId="0" borderId="0" xfId="0" applyFont="1" applyAlignment="1">
      <alignment horizontal="left"/>
    </xf>
    <xf numFmtId="0" fontId="4" fillId="0" borderId="0" xfId="14" applyFont="1" applyFill="1" applyBorder="1" applyAlignment="1">
      <alignment horizontal="left"/>
    </xf>
    <xf numFmtId="0" fontId="15" fillId="0" borderId="0" xfId="0" applyFont="1" applyAlignment="1">
      <alignment horizontal="left"/>
    </xf>
    <xf numFmtId="0" fontId="8" fillId="0" borderId="0" xfId="14" applyFont="1" applyFill="1" applyBorder="1"/>
    <xf numFmtId="0" fontId="8" fillId="0" borderId="0" xfId="14" applyFont="1" applyFill="1" applyBorder="1"/>
    <xf numFmtId="170" fontId="8" fillId="0" borderId="0" xfId="27" applyNumberFormat="1" applyFont="1" applyFill="1"/>
    <xf numFmtId="9" fontId="8" fillId="0" borderId="0" xfId="27" applyFont="1" applyFill="1" applyAlignment="1">
      <alignment horizontal="right" wrapText="1"/>
    </xf>
    <xf numFmtId="0" fontId="2" fillId="2" borderId="0" xfId="6" applyFont="1" applyFill="1" applyBorder="1"/>
    <xf numFmtId="0" fontId="8" fillId="2" borderId="0" xfId="31" applyFont="1" applyFill="1"/>
    <xf numFmtId="0" fontId="23" fillId="0" borderId="0" xfId="6"/>
    <xf numFmtId="0" fontId="26" fillId="0" borderId="0" xfId="6" applyFont="1"/>
    <xf numFmtId="176" fontId="12" fillId="2" borderId="0" xfId="32" applyNumberFormat="1" applyFont="1" applyFill="1" applyAlignment="1">
      <alignment vertical="top"/>
    </xf>
    <xf numFmtId="176" fontId="36" fillId="2" borderId="0" xfId="31" applyNumberFormat="1" applyFont="1" applyFill="1" applyAlignment="1">
      <alignment vertical="top"/>
    </xf>
    <xf numFmtId="0" fontId="38" fillId="2" borderId="0" xfId="33" applyFont="1" applyFill="1" applyAlignment="1" applyProtection="1"/>
    <xf numFmtId="0" fontId="39" fillId="2" borderId="0" xfId="31" applyFont="1" applyFill="1"/>
    <xf numFmtId="0" fontId="6" fillId="0" borderId="0" xfId="6" applyFont="1"/>
    <xf numFmtId="0" fontId="6" fillId="0" borderId="0" xfId="0" applyFont="1"/>
    <xf numFmtId="0" fontId="38" fillId="2" borderId="0" xfId="34" applyFont="1" applyFill="1" applyAlignment="1" applyProtection="1"/>
    <xf numFmtId="0" fontId="28" fillId="0" borderId="0" xfId="6" applyFont="1"/>
    <xf numFmtId="0" fontId="0" fillId="0" borderId="0" xfId="6" applyFont="1"/>
    <xf numFmtId="176" fontId="4" fillId="2" borderId="0" xfId="31" applyNumberFormat="1" applyFont="1" applyFill="1" applyBorder="1" applyAlignment="1">
      <alignment vertical="top"/>
    </xf>
    <xf numFmtId="176" fontId="8" fillId="2" borderId="0" xfId="31" applyNumberFormat="1" applyFont="1" applyFill="1" applyBorder="1" applyAlignment="1">
      <alignment horizontal="right" vertical="top" wrapText="1"/>
    </xf>
    <xf numFmtId="0" fontId="8" fillId="2" borderId="0" xfId="31" applyFont="1" applyFill="1" applyBorder="1"/>
    <xf numFmtId="176" fontId="8" fillId="2" borderId="0" xfId="31" applyNumberFormat="1" applyFont="1" applyFill="1" applyBorder="1" applyAlignment="1">
      <alignment vertical="top" wrapText="1"/>
    </xf>
    <xf numFmtId="176" fontId="8" fillId="2" borderId="0" xfId="31" applyNumberFormat="1" applyFont="1" applyFill="1" applyBorder="1" applyAlignment="1">
      <alignment horizontal="right" wrapText="1"/>
    </xf>
    <xf numFmtId="172" fontId="8" fillId="2" borderId="0" xfId="6" applyNumberFormat="1" applyFont="1" applyFill="1" applyAlignment="1">
      <alignment horizontal="right"/>
    </xf>
    <xf numFmtId="172" fontId="4" fillId="2" borderId="0" xfId="6" applyNumberFormat="1" applyFont="1" applyFill="1" applyAlignment="1">
      <alignment horizontal="right"/>
    </xf>
    <xf numFmtId="176" fontId="8" fillId="2" borderId="2" xfId="31" applyNumberFormat="1" applyFont="1" applyFill="1" applyBorder="1" applyAlignment="1">
      <alignment horizontal="right" wrapText="1"/>
    </xf>
    <xf numFmtId="0" fontId="8" fillId="0" borderId="2" xfId="35" applyFont="1" applyBorder="1" applyAlignment="1">
      <alignment horizontal="right"/>
    </xf>
    <xf numFmtId="0" fontId="8" fillId="2" borderId="2" xfId="31" applyFont="1" applyFill="1" applyBorder="1"/>
    <xf numFmtId="176" fontId="8" fillId="4" borderId="0" xfId="31" applyNumberFormat="1" applyFont="1" applyFill="1" applyBorder="1" applyAlignment="1">
      <alignment horizontal="right" wrapText="1"/>
    </xf>
    <xf numFmtId="0" fontId="4" fillId="2" borderId="0" xfId="31" applyFont="1" applyFill="1" applyBorder="1" applyAlignment="1">
      <alignment horizontal="left" vertical="top" wrapText="1"/>
    </xf>
    <xf numFmtId="0" fontId="8" fillId="2" borderId="0" xfId="31" applyFont="1" applyFill="1" applyBorder="1" applyAlignment="1">
      <alignment horizontal="left" vertical="top" wrapText="1"/>
    </xf>
    <xf numFmtId="3" fontId="8" fillId="2" borderId="0" xfId="31" applyNumberFormat="1" applyFont="1" applyFill="1" applyBorder="1" applyAlignment="1">
      <alignment horizontal="right" vertical="top" wrapText="1"/>
    </xf>
    <xf numFmtId="166" fontId="4" fillId="4" borderId="0" xfId="6" applyNumberFormat="1" applyFont="1" applyFill="1" applyBorder="1" applyAlignment="1">
      <alignment horizontal="right"/>
    </xf>
    <xf numFmtId="166" fontId="4" fillId="2" borderId="0" xfId="31" applyNumberFormat="1" applyFont="1" applyFill="1" applyBorder="1" applyAlignment="1">
      <alignment horizontal="right"/>
    </xf>
    <xf numFmtId="166" fontId="4" fillId="2" borderId="0" xfId="6" applyNumberFormat="1" applyFont="1" applyFill="1" applyBorder="1" applyAlignment="1">
      <alignment horizontal="right"/>
    </xf>
    <xf numFmtId="0" fontId="15" fillId="0" borderId="0" xfId="0" applyFont="1"/>
    <xf numFmtId="0" fontId="4" fillId="2" borderId="0" xfId="31" applyFont="1" applyFill="1" applyBorder="1" applyAlignment="1">
      <alignment horizontal="right" vertical="top" wrapText="1"/>
    </xf>
    <xf numFmtId="166" fontId="8" fillId="4" borderId="0" xfId="6" applyNumberFormat="1" applyFont="1" applyFill="1" applyBorder="1" applyAlignment="1">
      <alignment horizontal="right"/>
    </xf>
    <xf numFmtId="166" fontId="8" fillId="2" borderId="0" xfId="31" applyNumberFormat="1" applyFont="1" applyFill="1" applyBorder="1" applyAlignment="1">
      <alignment horizontal="right"/>
    </xf>
    <xf numFmtId="166" fontId="8" fillId="2" borderId="0" xfId="6" applyNumberFormat="1" applyFont="1" applyFill="1" applyBorder="1" applyAlignment="1">
      <alignment horizontal="right"/>
    </xf>
    <xf numFmtId="0" fontId="8" fillId="2" borderId="2" xfId="31" applyFont="1" applyFill="1" applyBorder="1" applyAlignment="1">
      <alignment horizontal="left" vertical="top" wrapText="1"/>
    </xf>
    <xf numFmtId="0" fontId="4" fillId="2" borderId="2" xfId="31" applyFont="1" applyFill="1" applyBorder="1" applyAlignment="1">
      <alignment horizontal="right" vertical="top" wrapText="1"/>
    </xf>
    <xf numFmtId="166" fontId="8" fillId="4" borderId="2" xfId="6" applyNumberFormat="1" applyFont="1" applyFill="1" applyBorder="1" applyAlignment="1">
      <alignment horizontal="right"/>
    </xf>
    <xf numFmtId="166" fontId="8" fillId="2" borderId="2" xfId="31" applyNumberFormat="1" applyFont="1" applyFill="1" applyBorder="1" applyAlignment="1">
      <alignment horizontal="right"/>
    </xf>
    <xf numFmtId="166" fontId="8" fillId="2" borderId="2" xfId="6" applyNumberFormat="1" applyFont="1" applyFill="1" applyBorder="1" applyAlignment="1">
      <alignment horizontal="right"/>
    </xf>
    <xf numFmtId="0" fontId="4" fillId="2" borderId="0" xfId="31" applyFont="1" applyFill="1" applyBorder="1" applyAlignment="1">
      <alignment horizontal="justify" vertical="top" wrapText="1"/>
    </xf>
    <xf numFmtId="0" fontId="8" fillId="2" borderId="0" xfId="31" applyFont="1" applyFill="1" applyBorder="1" applyAlignment="1">
      <alignment horizontal="justify" vertical="top" wrapText="1"/>
    </xf>
    <xf numFmtId="0" fontId="8" fillId="2" borderId="2" xfId="31" applyFont="1" applyFill="1" applyBorder="1" applyAlignment="1">
      <alignment horizontal="justify" vertical="top" wrapText="1"/>
    </xf>
    <xf numFmtId="0" fontId="4" fillId="2" borderId="4" xfId="31" applyFont="1" applyFill="1" applyBorder="1" applyAlignment="1">
      <alignment horizontal="left" vertical="top" wrapText="1"/>
    </xf>
    <xf numFmtId="0" fontId="4" fillId="2" borderId="4" xfId="31" applyFont="1" applyFill="1" applyBorder="1" applyAlignment="1">
      <alignment horizontal="right" vertical="top" wrapText="1"/>
    </xf>
    <xf numFmtId="166" fontId="4" fillId="4" borderId="4" xfId="6" applyNumberFormat="1" applyFont="1" applyFill="1" applyBorder="1" applyAlignment="1">
      <alignment horizontal="right"/>
    </xf>
    <xf numFmtId="166" fontId="4" fillId="2" borderId="4" xfId="31" applyNumberFormat="1" applyFont="1" applyFill="1" applyBorder="1" applyAlignment="1">
      <alignment horizontal="right"/>
    </xf>
    <xf numFmtId="166" fontId="4" fillId="2" borderId="4" xfId="6" applyNumberFormat="1" applyFont="1" applyFill="1" applyBorder="1" applyAlignment="1">
      <alignment horizontal="right"/>
    </xf>
    <xf numFmtId="0" fontId="4" fillId="2" borderId="2" xfId="31" applyFont="1" applyFill="1" applyBorder="1" applyAlignment="1">
      <alignment horizontal="justify" vertical="top" wrapText="1"/>
    </xf>
    <xf numFmtId="166" fontId="4" fillId="4" borderId="2" xfId="6" applyNumberFormat="1" applyFont="1" applyFill="1" applyBorder="1" applyAlignment="1">
      <alignment horizontal="right"/>
    </xf>
    <xf numFmtId="166" fontId="4" fillId="2" borderId="2" xfId="31" applyNumberFormat="1" applyFont="1" applyFill="1" applyBorder="1" applyAlignment="1">
      <alignment horizontal="right"/>
    </xf>
    <xf numFmtId="166" fontId="4" fillId="2" borderId="2" xfId="6" applyNumberFormat="1" applyFont="1" applyFill="1" applyBorder="1" applyAlignment="1">
      <alignment horizontal="right"/>
    </xf>
    <xf numFmtId="0" fontId="4" fillId="2" borderId="17" xfId="31" applyFont="1" applyFill="1" applyBorder="1" applyAlignment="1">
      <alignment horizontal="justify" vertical="top" wrapText="1"/>
    </xf>
    <xf numFmtId="0" fontId="4" fillId="2" borderId="17" xfId="31" applyFont="1" applyFill="1" applyBorder="1" applyAlignment="1">
      <alignment horizontal="right" vertical="top" wrapText="1"/>
    </xf>
    <xf numFmtId="166" fontId="4" fillId="4" borderId="17" xfId="6" applyNumberFormat="1" applyFont="1" applyFill="1" applyBorder="1" applyAlignment="1">
      <alignment horizontal="right"/>
    </xf>
    <xf numFmtId="166" fontId="4" fillId="2" borderId="17" xfId="31" applyNumberFormat="1" applyFont="1" applyFill="1" applyBorder="1" applyAlignment="1">
      <alignment horizontal="right"/>
    </xf>
    <xf numFmtId="166" fontId="4" fillId="2" borderId="17" xfId="6" applyNumberFormat="1" applyFont="1" applyFill="1" applyBorder="1" applyAlignment="1">
      <alignment horizontal="right"/>
    </xf>
    <xf numFmtId="0" fontId="8" fillId="2" borderId="0" xfId="31" applyFont="1" applyFill="1" applyBorder="1" applyAlignment="1">
      <alignment horizontal="right" vertical="top" wrapText="1"/>
    </xf>
    <xf numFmtId="0" fontId="4" fillId="2" borderId="18" xfId="31" applyFont="1" applyFill="1" applyBorder="1" applyAlignment="1">
      <alignment horizontal="justify" vertical="top" wrapText="1"/>
    </xf>
    <xf numFmtId="3" fontId="4" fillId="2" borderId="18" xfId="31" applyNumberFormat="1" applyFont="1" applyFill="1" applyBorder="1" applyAlignment="1">
      <alignment horizontal="right" vertical="top" wrapText="1"/>
    </xf>
    <xf numFmtId="166" fontId="4" fillId="4" borderId="18" xfId="6" applyNumberFormat="1" applyFont="1" applyFill="1" applyBorder="1" applyAlignment="1">
      <alignment horizontal="right"/>
    </xf>
    <xf numFmtId="166" fontId="4" fillId="2" borderId="18" xfId="31" applyNumberFormat="1" applyFont="1" applyFill="1" applyBorder="1" applyAlignment="1">
      <alignment horizontal="right"/>
    </xf>
    <xf numFmtId="166" fontId="4" fillId="2" borderId="18" xfId="6" applyNumberFormat="1" applyFont="1" applyFill="1" applyBorder="1" applyAlignment="1">
      <alignment horizontal="right"/>
    </xf>
    <xf numFmtId="173" fontId="8" fillId="4" borderId="0" xfId="36" applyNumberFormat="1" applyFont="1" applyFill="1" applyBorder="1" applyAlignment="1"/>
    <xf numFmtId="0" fontId="8" fillId="2" borderId="0" xfId="31" applyFont="1" applyFill="1" applyBorder="1" applyAlignment="1">
      <alignment horizontal="right"/>
    </xf>
    <xf numFmtId="173" fontId="8" fillId="2" borderId="0" xfId="36" applyNumberFormat="1" applyFont="1" applyFill="1" applyBorder="1" applyAlignment="1"/>
    <xf numFmtId="0" fontId="8" fillId="2" borderId="17" xfId="31" applyFont="1" applyFill="1" applyBorder="1" applyAlignment="1">
      <alignment horizontal="justify" vertical="top" wrapText="1"/>
    </xf>
    <xf numFmtId="3" fontId="8" fillId="2" borderId="17" xfId="31" applyNumberFormat="1" applyFont="1" applyFill="1" applyBorder="1" applyAlignment="1">
      <alignment horizontal="right" vertical="top" wrapText="1"/>
    </xf>
    <xf numFmtId="173" fontId="8" fillId="4" borderId="17" xfId="36" applyNumberFormat="1" applyFont="1" applyFill="1" applyBorder="1" applyAlignment="1">
      <alignment horizontal="right"/>
    </xf>
    <xf numFmtId="0" fontId="8" fillId="2" borderId="17" xfId="31" applyFont="1" applyFill="1" applyBorder="1" applyAlignment="1">
      <alignment horizontal="right"/>
    </xf>
    <xf numFmtId="173" fontId="8" fillId="2" borderId="17" xfId="36" applyNumberFormat="1" applyFont="1" applyFill="1" applyBorder="1" applyAlignment="1"/>
    <xf numFmtId="176" fontId="8" fillId="2" borderId="0" xfId="31" applyNumberFormat="1" applyFont="1" applyFill="1" applyBorder="1" applyAlignment="1">
      <alignment horizontal="right"/>
    </xf>
    <xf numFmtId="0" fontId="0" fillId="0" borderId="0" xfId="0" applyFont="1"/>
    <xf numFmtId="176" fontId="4" fillId="2" borderId="0" xfId="24" applyNumberFormat="1" applyFont="1" applyFill="1" applyAlignment="1">
      <alignment vertical="top"/>
    </xf>
    <xf numFmtId="176" fontId="28" fillId="2" borderId="0" xfId="24" applyNumberFormat="1" applyFont="1" applyFill="1" applyAlignment="1">
      <alignment vertical="top"/>
    </xf>
    <xf numFmtId="176" fontId="8" fillId="2" borderId="0" xfId="24" applyNumberFormat="1" applyFont="1" applyFill="1" applyAlignment="1">
      <alignment vertical="top" wrapText="1"/>
    </xf>
    <xf numFmtId="0" fontId="8" fillId="2" borderId="0" xfId="24" applyFont="1" applyFill="1" applyBorder="1" applyAlignment="1">
      <alignment horizontal="right" wrapText="1"/>
    </xf>
    <xf numFmtId="172" fontId="8" fillId="2" borderId="0" xfId="14" applyNumberFormat="1" applyFont="1" applyFill="1" applyBorder="1" applyAlignment="1">
      <alignment horizontal="right"/>
    </xf>
    <xf numFmtId="172" fontId="8" fillId="2" borderId="0" xfId="24" applyNumberFormat="1" applyFont="1" applyFill="1" applyBorder="1" applyAlignment="1">
      <alignment horizontal="right"/>
    </xf>
    <xf numFmtId="0" fontId="8" fillId="2" borderId="0" xfId="24" applyFont="1" applyFill="1"/>
    <xf numFmtId="0" fontId="8" fillId="2" borderId="2" xfId="24" applyFont="1" applyFill="1" applyBorder="1" applyAlignment="1">
      <alignment horizontal="right" wrapText="1"/>
    </xf>
    <xf numFmtId="0" fontId="8" fillId="0" borderId="2" xfId="6" applyFont="1" applyBorder="1" applyAlignment="1">
      <alignment horizontal="right"/>
    </xf>
    <xf numFmtId="0" fontId="8" fillId="2" borderId="2" xfId="24" applyFont="1" applyFill="1" applyBorder="1"/>
    <xf numFmtId="0" fontId="8" fillId="2" borderId="0" xfId="24" applyFont="1" applyFill="1" applyAlignment="1">
      <alignment wrapText="1"/>
    </xf>
    <xf numFmtId="0" fontId="8" fillId="4" borderId="0" xfId="24" applyFont="1" applyFill="1" applyAlignment="1">
      <alignment horizontal="right" wrapText="1"/>
    </xf>
    <xf numFmtId="166" fontId="8" fillId="2" borderId="0" xfId="24" applyNumberFormat="1" applyFont="1" applyFill="1" applyAlignment="1">
      <alignment horizontal="right"/>
    </xf>
    <xf numFmtId="166" fontId="8" fillId="2" borderId="0" xfId="14" applyNumberFormat="1" applyFont="1" applyFill="1" applyBorder="1" applyAlignment="1">
      <alignment horizontal="right"/>
    </xf>
    <xf numFmtId="0" fontId="8" fillId="2" borderId="2" xfId="24" applyFont="1" applyFill="1" applyBorder="1" applyAlignment="1">
      <alignment wrapText="1"/>
    </xf>
    <xf numFmtId="166" fontId="8" fillId="2" borderId="2" xfId="24" applyNumberFormat="1" applyFont="1" applyFill="1" applyBorder="1" applyAlignment="1">
      <alignment horizontal="right"/>
    </xf>
    <xf numFmtId="0" fontId="4" fillId="2" borderId="0" xfId="24" applyFont="1" applyFill="1" applyAlignment="1">
      <alignment wrapText="1"/>
    </xf>
    <xf numFmtId="166" fontId="4" fillId="2" borderId="0" xfId="24" applyNumberFormat="1" applyFont="1" applyFill="1" applyAlignment="1">
      <alignment horizontal="right"/>
    </xf>
    <xf numFmtId="166" fontId="4" fillId="2" borderId="0" xfId="24" applyNumberFormat="1" applyFont="1" applyFill="1" applyBorder="1" applyAlignment="1">
      <alignment horizontal="right" wrapText="1"/>
    </xf>
    <xf numFmtId="0" fontId="4" fillId="2" borderId="0" xfId="24" applyFont="1" applyFill="1"/>
    <xf numFmtId="166" fontId="8" fillId="4" borderId="0" xfId="24" applyNumberFormat="1" applyFont="1" applyFill="1" applyBorder="1" applyAlignment="1">
      <alignment horizontal="right" wrapText="1"/>
    </xf>
    <xf numFmtId="166" fontId="8" fillId="2" borderId="0" xfId="24" applyNumberFormat="1" applyFont="1" applyFill="1" applyBorder="1" applyAlignment="1">
      <alignment horizontal="right" wrapText="1"/>
    </xf>
    <xf numFmtId="0" fontId="4" fillId="2" borderId="18" xfId="24" applyFont="1" applyFill="1" applyBorder="1" applyAlignment="1">
      <alignment vertical="center" wrapText="1"/>
    </xf>
    <xf numFmtId="166" fontId="4" fillId="4" borderId="18" xfId="14" applyNumberFormat="1" applyFont="1" applyFill="1" applyBorder="1" applyAlignment="1">
      <alignment horizontal="right"/>
    </xf>
    <xf numFmtId="166" fontId="4" fillId="2" borderId="18" xfId="24" applyNumberFormat="1" applyFont="1" applyFill="1" applyBorder="1" applyAlignment="1">
      <alignment horizontal="right"/>
    </xf>
    <xf numFmtId="166" fontId="4" fillId="2" borderId="18" xfId="14" applyNumberFormat="1" applyFont="1" applyFill="1" applyBorder="1" applyAlignment="1">
      <alignment horizontal="right"/>
    </xf>
    <xf numFmtId="0" fontId="4" fillId="2" borderId="18" xfId="24" applyFont="1" applyFill="1" applyBorder="1"/>
    <xf numFmtId="0" fontId="8" fillId="7" borderId="0" xfId="24" applyFont="1" applyFill="1" applyBorder="1"/>
    <xf numFmtId="0" fontId="28" fillId="2" borderId="0" xfId="24" applyFont="1" applyFill="1"/>
    <xf numFmtId="0" fontId="8" fillId="2" borderId="0" xfId="24" applyFont="1" applyFill="1" applyBorder="1"/>
    <xf numFmtId="176" fontId="8" fillId="2" borderId="0" xfId="24" applyNumberFormat="1" applyFont="1" applyFill="1" applyBorder="1" applyAlignment="1">
      <alignment vertical="top" wrapText="1"/>
    </xf>
    <xf numFmtId="168" fontId="8" fillId="2" borderId="0" xfId="14" quotePrefix="1" applyNumberFormat="1" applyFont="1" applyFill="1" applyBorder="1" applyAlignment="1">
      <alignment horizontal="right"/>
    </xf>
    <xf numFmtId="49" fontId="8" fillId="2" borderId="0" xfId="24" applyNumberFormat="1" applyFont="1" applyFill="1" applyBorder="1" applyAlignment="1">
      <alignment vertical="top" wrapText="1"/>
    </xf>
    <xf numFmtId="172" fontId="8" fillId="2" borderId="0" xfId="14" applyNumberFormat="1" applyFont="1" applyFill="1" applyBorder="1"/>
    <xf numFmtId="172" fontId="4" fillId="2" borderId="0" xfId="24" applyNumberFormat="1" applyFont="1" applyFill="1" applyBorder="1" applyAlignment="1">
      <alignment horizontal="right" wrapText="1"/>
    </xf>
    <xf numFmtId="0" fontId="4" fillId="2" borderId="2" xfId="24" applyFont="1" applyFill="1" applyBorder="1" applyAlignment="1">
      <alignment horizontal="right" wrapText="1"/>
    </xf>
    <xf numFmtId="176" fontId="8" fillId="4" borderId="0" xfId="24" applyNumberFormat="1" applyFont="1" applyFill="1" applyAlignment="1">
      <alignment horizontal="right" wrapText="1"/>
    </xf>
    <xf numFmtId="176" fontId="4" fillId="2" borderId="0" xfId="24" applyNumberFormat="1" applyFont="1" applyFill="1" applyBorder="1" applyAlignment="1">
      <alignment horizontal="right" wrapText="1"/>
    </xf>
    <xf numFmtId="176" fontId="8" fillId="2" borderId="0" xfId="24" applyNumberFormat="1" applyFont="1" applyFill="1" applyAlignment="1">
      <alignment horizontal="right" wrapText="1"/>
    </xf>
    <xf numFmtId="0" fontId="4" fillId="2" borderId="3" xfId="24" applyFont="1" applyFill="1" applyBorder="1" applyAlignment="1">
      <alignment wrapText="1"/>
    </xf>
    <xf numFmtId="166" fontId="4" fillId="4" borderId="3" xfId="14" applyNumberFormat="1" applyFont="1" applyFill="1" applyBorder="1"/>
    <xf numFmtId="166" fontId="4" fillId="2" borderId="3" xfId="24" applyNumberFormat="1" applyFont="1" applyFill="1" applyBorder="1" applyAlignment="1">
      <alignment horizontal="right" wrapText="1"/>
    </xf>
    <xf numFmtId="166" fontId="4" fillId="2" borderId="3" xfId="14" applyNumberFormat="1" applyFont="1" applyFill="1" applyBorder="1"/>
    <xf numFmtId="0" fontId="4" fillId="2" borderId="18" xfId="24" applyFont="1" applyFill="1" applyBorder="1" applyAlignment="1">
      <alignment wrapText="1"/>
    </xf>
    <xf numFmtId="166" fontId="4" fillId="4" borderId="18" xfId="14" applyNumberFormat="1" applyFont="1" applyFill="1" applyBorder="1"/>
    <xf numFmtId="166" fontId="4" fillId="2" borderId="18" xfId="24" applyNumberFormat="1" applyFont="1" applyFill="1" applyBorder="1" applyAlignment="1">
      <alignment horizontal="right" wrapText="1"/>
    </xf>
    <xf numFmtId="166" fontId="4" fillId="2" borderId="18" xfId="14" applyNumberFormat="1" applyFont="1" applyFill="1" applyBorder="1"/>
    <xf numFmtId="0" fontId="4" fillId="2" borderId="3" xfId="24" applyFont="1" applyFill="1" applyBorder="1"/>
    <xf numFmtId="49" fontId="8" fillId="2" borderId="0" xfId="14" applyNumberFormat="1" applyFont="1" applyFill="1" applyBorder="1" applyAlignment="1">
      <alignment horizontal="right" wrapText="1"/>
    </xf>
    <xf numFmtId="168" fontId="11" fillId="2" borderId="0" xfId="14" applyNumberFormat="1" applyFont="1" applyFill="1" applyBorder="1" applyAlignment="1">
      <alignment horizontal="right" wrapText="1"/>
    </xf>
    <xf numFmtId="168" fontId="8" fillId="2" borderId="0" xfId="14" applyNumberFormat="1" applyFont="1" applyFill="1" applyBorder="1" applyAlignment="1">
      <alignment horizontal="right" wrapText="1"/>
    </xf>
    <xf numFmtId="49" fontId="8" fillId="2" borderId="0" xfId="24" applyNumberFormat="1" applyFont="1" applyFill="1" applyBorder="1" applyAlignment="1">
      <alignment horizontal="right" wrapText="1"/>
    </xf>
    <xf numFmtId="176" fontId="8" fillId="2" borderId="2" xfId="24" applyNumberFormat="1" applyFont="1" applyFill="1" applyBorder="1" applyAlignment="1">
      <alignment vertical="top" wrapText="1"/>
    </xf>
    <xf numFmtId="168" fontId="8" fillId="2" borderId="2" xfId="14" applyNumberFormat="1" applyFont="1" applyFill="1" applyBorder="1" applyAlignment="1">
      <alignment horizontal="right" wrapText="1"/>
    </xf>
    <xf numFmtId="49" fontId="8" fillId="2" borderId="2" xfId="24" applyNumberFormat="1" applyFont="1" applyFill="1" applyBorder="1" applyAlignment="1">
      <alignment horizontal="right" wrapText="1"/>
    </xf>
    <xf numFmtId="168" fontId="8" fillId="2" borderId="0" xfId="14" applyNumberFormat="1" applyFont="1" applyFill="1" applyBorder="1" applyAlignment="1">
      <alignment horizontal="right"/>
    </xf>
    <xf numFmtId="49" fontId="8" fillId="2" borderId="0" xfId="24" applyNumberFormat="1" applyFont="1" applyFill="1" applyAlignment="1">
      <alignment wrapText="1"/>
    </xf>
    <xf numFmtId="166" fontId="8" fillId="0" borderId="0" xfId="36" applyNumberFormat="1" applyFont="1" applyFill="1" applyBorder="1" applyAlignment="1">
      <alignment horizontal="right"/>
    </xf>
    <xf numFmtId="166" fontId="4" fillId="0" borderId="0" xfId="36" applyNumberFormat="1" applyFont="1" applyFill="1" applyBorder="1" applyAlignment="1">
      <alignment horizontal="right"/>
    </xf>
    <xf numFmtId="166" fontId="8" fillId="2" borderId="0" xfId="24" applyNumberFormat="1" applyFont="1" applyFill="1" applyBorder="1" applyAlignment="1">
      <alignment horizontal="right"/>
    </xf>
    <xf numFmtId="15" fontId="4" fillId="2" borderId="18" xfId="24" applyNumberFormat="1" applyFont="1" applyFill="1" applyBorder="1" applyAlignment="1" applyProtection="1">
      <alignment wrapText="1"/>
      <protection locked="0"/>
    </xf>
    <xf numFmtId="166" fontId="4" fillId="0" borderId="18" xfId="36" applyNumberFormat="1" applyFont="1" applyFill="1" applyBorder="1" applyAlignment="1">
      <alignment horizontal="right"/>
    </xf>
    <xf numFmtId="15" fontId="4" fillId="2" borderId="0" xfId="24" applyNumberFormat="1" applyFont="1" applyFill="1" applyAlignment="1" applyProtection="1">
      <alignment wrapText="1"/>
      <protection locked="0"/>
    </xf>
    <xf numFmtId="166" fontId="4" fillId="2" borderId="0" xfId="24" applyNumberFormat="1" applyFont="1" applyFill="1" applyBorder="1" applyAlignment="1">
      <alignment horizontal="right"/>
    </xf>
    <xf numFmtId="166" fontId="8" fillId="2" borderId="18" xfId="14" applyNumberFormat="1" applyFont="1" applyFill="1" applyBorder="1" applyAlignment="1">
      <alignment horizontal="right"/>
    </xf>
    <xf numFmtId="176" fontId="8" fillId="2" borderId="0" xfId="24" applyNumberFormat="1" applyFont="1" applyFill="1" applyBorder="1" applyAlignment="1">
      <alignment horizontal="right" wrapText="1"/>
    </xf>
    <xf numFmtId="0" fontId="16" fillId="2" borderId="0" xfId="24" applyFont="1" applyFill="1" applyAlignment="1">
      <alignment wrapText="1"/>
    </xf>
    <xf numFmtId="0" fontId="17" fillId="2" borderId="0" xfId="24" applyFont="1" applyFill="1" applyAlignment="1">
      <alignment wrapText="1"/>
    </xf>
    <xf numFmtId="176" fontId="8" fillId="2" borderId="0" xfId="24" applyNumberFormat="1" applyFont="1" applyFill="1" applyBorder="1" applyAlignment="1">
      <alignment horizontal="right" vertical="top" wrapText="1"/>
    </xf>
    <xf numFmtId="177" fontId="8" fillId="2" borderId="0" xfId="36" applyNumberFormat="1" applyFont="1" applyFill="1" applyBorder="1" applyAlignment="1"/>
    <xf numFmtId="177" fontId="4" fillId="2" borderId="0" xfId="24" applyNumberFormat="1" applyFont="1" applyFill="1" applyBorder="1"/>
    <xf numFmtId="177" fontId="8" fillId="0" borderId="0" xfId="36" applyNumberFormat="1" applyFont="1" applyBorder="1" applyAlignment="1"/>
    <xf numFmtId="0" fontId="8" fillId="2" borderId="2" xfId="6" applyFont="1" applyFill="1" applyBorder="1" applyAlignment="1">
      <alignment horizontal="right"/>
    </xf>
    <xf numFmtId="0" fontId="4" fillId="2" borderId="2" xfId="24" applyFont="1" applyFill="1" applyBorder="1"/>
    <xf numFmtId="178" fontId="4" fillId="4" borderId="2" xfId="36" applyNumberFormat="1" applyFont="1" applyFill="1" applyBorder="1" applyAlignment="1"/>
    <xf numFmtId="178" fontId="4" fillId="2" borderId="2" xfId="24" applyNumberFormat="1" applyFont="1" applyFill="1" applyBorder="1"/>
    <xf numFmtId="178" fontId="4" fillId="0" borderId="2" xfId="36" applyNumberFormat="1" applyFont="1" applyFill="1" applyBorder="1" applyAlignment="1"/>
    <xf numFmtId="178" fontId="8" fillId="4" borderId="0" xfId="24" applyNumberFormat="1" applyFont="1" applyFill="1" applyAlignment="1">
      <alignment horizontal="right" wrapText="1"/>
    </xf>
    <xf numFmtId="178" fontId="4" fillId="2" borderId="0" xfId="24" applyNumberFormat="1" applyFont="1" applyFill="1" applyBorder="1"/>
    <xf numFmtId="178" fontId="8" fillId="0" borderId="0" xfId="24" applyNumberFormat="1" applyFont="1" applyFill="1" applyAlignment="1">
      <alignment horizontal="right" wrapText="1"/>
    </xf>
    <xf numFmtId="178" fontId="8" fillId="4" borderId="0" xfId="36" applyNumberFormat="1" applyFont="1" applyFill="1" applyBorder="1" applyAlignment="1"/>
    <xf numFmtId="178" fontId="8" fillId="0" borderId="0" xfId="36" applyNumberFormat="1" applyFont="1" applyFill="1" applyBorder="1" applyAlignment="1"/>
    <xf numFmtId="178" fontId="8" fillId="4" borderId="0" xfId="24" applyNumberFormat="1" applyFont="1" applyFill="1" applyBorder="1"/>
    <xf numFmtId="178" fontId="8" fillId="0" borderId="0" xfId="24" applyNumberFormat="1" applyFont="1" applyFill="1" applyBorder="1"/>
    <xf numFmtId="178" fontId="4" fillId="4" borderId="3" xfId="36" applyNumberFormat="1" applyFont="1" applyFill="1" applyBorder="1" applyAlignment="1"/>
    <xf numFmtId="178" fontId="4" fillId="2" borderId="3" xfId="24" applyNumberFormat="1" applyFont="1" applyFill="1" applyBorder="1"/>
    <xf numFmtId="178" fontId="4" fillId="0" borderId="3" xfId="36" applyNumberFormat="1" applyFont="1" applyFill="1" applyBorder="1" applyAlignment="1"/>
    <xf numFmtId="178" fontId="8" fillId="4" borderId="0" xfId="24" applyNumberFormat="1" applyFont="1" applyFill="1"/>
    <xf numFmtId="178" fontId="8" fillId="0" borderId="0" xfId="24" applyNumberFormat="1" applyFont="1" applyFill="1"/>
    <xf numFmtId="178" fontId="4" fillId="4" borderId="0" xfId="36" applyNumberFormat="1" applyFont="1" applyFill="1" applyBorder="1" applyAlignment="1"/>
    <xf numFmtId="178" fontId="4" fillId="0" borderId="0" xfId="36" applyNumberFormat="1" applyFont="1" applyFill="1" applyBorder="1" applyAlignment="1"/>
    <xf numFmtId="178" fontId="4" fillId="4" borderId="18" xfId="36" applyNumberFormat="1" applyFont="1" applyFill="1" applyBorder="1" applyAlignment="1">
      <alignment horizontal="right"/>
    </xf>
    <xf numFmtId="178" fontId="4" fillId="2" borderId="18" xfId="24" applyNumberFormat="1" applyFont="1" applyFill="1" applyBorder="1"/>
    <xf numFmtId="178" fontId="4" fillId="0" borderId="18" xfId="36" applyNumberFormat="1" applyFont="1" applyFill="1" applyBorder="1" applyAlignment="1">
      <alignment horizontal="right"/>
    </xf>
    <xf numFmtId="0" fontId="4" fillId="2" borderId="0" xfId="24" applyFont="1" applyFill="1" applyBorder="1"/>
    <xf numFmtId="176" fontId="8" fillId="2" borderId="0" xfId="31" applyNumberFormat="1" applyFont="1" applyFill="1" applyAlignment="1">
      <alignment vertical="top" wrapText="1"/>
    </xf>
    <xf numFmtId="176" fontId="28" fillId="2" borderId="0" xfId="31" applyNumberFormat="1" applyFont="1" applyFill="1" applyAlignment="1">
      <alignment vertical="top"/>
    </xf>
    <xf numFmtId="0" fontId="41" fillId="2" borderId="0" xfId="31" applyFont="1" applyFill="1"/>
    <xf numFmtId="176" fontId="4" fillId="2" borderId="0" xfId="31" applyNumberFormat="1" applyFont="1" applyFill="1" applyBorder="1" applyAlignment="1">
      <alignment horizontal="right" wrapText="1"/>
    </xf>
    <xf numFmtId="0" fontId="8" fillId="2" borderId="0" xfId="31" applyFont="1" applyFill="1" applyBorder="1" applyAlignment="1">
      <alignment horizontal="right" wrapText="1"/>
    </xf>
    <xf numFmtId="0" fontId="8" fillId="2" borderId="0" xfId="31" applyFont="1" applyFill="1" applyAlignment="1">
      <alignment horizontal="right" wrapText="1"/>
    </xf>
    <xf numFmtId="0" fontId="8" fillId="2" borderId="0" xfId="31" applyFont="1" applyFill="1" applyAlignment="1">
      <alignment wrapText="1"/>
    </xf>
    <xf numFmtId="0" fontId="8" fillId="2" borderId="2" xfId="31" applyFont="1" applyFill="1" applyBorder="1" applyAlignment="1">
      <alignment horizontal="right" wrapText="1"/>
    </xf>
    <xf numFmtId="0" fontId="0" fillId="2" borderId="0" xfId="0" applyFill="1"/>
    <xf numFmtId="1" fontId="8" fillId="2" borderId="0" xfId="31" applyNumberFormat="1" applyFont="1" applyFill="1" applyBorder="1" applyAlignment="1">
      <alignment horizontal="right" wrapText="1"/>
    </xf>
    <xf numFmtId="1" fontId="8" fillId="2" borderId="0" xfId="31" applyNumberFormat="1" applyFont="1" applyFill="1" applyBorder="1"/>
    <xf numFmtId="0" fontId="4" fillId="2" borderId="2" xfId="31" applyFont="1" applyFill="1" applyBorder="1" applyAlignment="1">
      <alignment horizontal="right" wrapText="1"/>
    </xf>
    <xf numFmtId="0" fontId="8" fillId="4" borderId="0" xfId="31" applyFont="1" applyFill="1" applyAlignment="1">
      <alignment horizontal="right" wrapText="1"/>
    </xf>
    <xf numFmtId="0" fontId="42" fillId="6" borderId="0" xfId="31" applyFont="1" applyFill="1" applyAlignment="1">
      <alignment vertical="top" wrapText="1"/>
    </xf>
    <xf numFmtId="176" fontId="8" fillId="8" borderId="0" xfId="31" applyNumberFormat="1" applyFont="1" applyFill="1" applyAlignment="1">
      <alignment horizontal="right" wrapText="1"/>
    </xf>
    <xf numFmtId="176" fontId="8" fillId="6" borderId="0" xfId="31" applyNumberFormat="1" applyFont="1" applyFill="1" applyAlignment="1">
      <alignment horizontal="right" wrapText="1"/>
    </xf>
    <xf numFmtId="0" fontId="8" fillId="6" borderId="17" xfId="31" applyFont="1" applyFill="1" applyBorder="1" applyAlignment="1">
      <alignment wrapText="1"/>
    </xf>
    <xf numFmtId="179" fontId="8" fillId="8" borderId="17" xfId="31" applyNumberFormat="1" applyFont="1" applyFill="1" applyBorder="1" applyAlignment="1">
      <alignment horizontal="right" wrapText="1"/>
    </xf>
    <xf numFmtId="179" fontId="8" fillId="6" borderId="17" xfId="31" applyNumberFormat="1" applyFont="1" applyFill="1" applyBorder="1" applyAlignment="1">
      <alignment horizontal="right" wrapText="1"/>
    </xf>
    <xf numFmtId="0" fontId="8" fillId="6" borderId="0" xfId="31" applyFont="1" applyFill="1" applyBorder="1" applyAlignment="1">
      <alignment wrapText="1"/>
    </xf>
    <xf numFmtId="179" fontId="4" fillId="4" borderId="0" xfId="31" applyNumberFormat="1" applyFont="1" applyFill="1" applyBorder="1" applyAlignment="1">
      <alignment horizontal="right" wrapText="1"/>
    </xf>
    <xf numFmtId="179" fontId="4" fillId="3" borderId="0" xfId="31" applyNumberFormat="1" applyFont="1" applyFill="1" applyBorder="1" applyAlignment="1">
      <alignment horizontal="right" wrapText="1"/>
    </xf>
    <xf numFmtId="0" fontId="42" fillId="6" borderId="0" xfId="31" applyFont="1" applyFill="1"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Fill="1" applyAlignment="1">
      <alignment vertical="top" wrapText="1"/>
    </xf>
    <xf numFmtId="0" fontId="8" fillId="0" borderId="0" xfId="14" applyFont="1" applyFill="1" applyAlignment="1">
      <alignment vertical="top" wrapText="1"/>
    </xf>
    <xf numFmtId="0" fontId="8" fillId="2" borderId="0" xfId="14" applyFont="1" applyFill="1" applyAlignment="1">
      <alignment wrapText="1"/>
    </xf>
    <xf numFmtId="166" fontId="8" fillId="5" borderId="0" xfId="20" applyNumberFormat="1" applyFont="1" applyFill="1" applyBorder="1" applyAlignment="1"/>
    <xf numFmtId="166" fontId="8" fillId="5" borderId="2" xfId="20" applyNumberFormat="1" applyFont="1" applyFill="1" applyBorder="1" applyAlignment="1"/>
    <xf numFmtId="0" fontId="8" fillId="5" borderId="0" xfId="20" applyFont="1" applyFill="1" applyBorder="1"/>
    <xf numFmtId="166" fontId="4" fillId="5" borderId="0" xfId="20" applyNumberFormat="1" applyFont="1" applyFill="1" applyBorder="1" applyAlignment="1"/>
    <xf numFmtId="166" fontId="8" fillId="5" borderId="0" xfId="20" applyNumberFormat="1" applyFont="1" applyFill="1" applyBorder="1" applyAlignment="1">
      <alignment vertical="center"/>
    </xf>
    <xf numFmtId="166" fontId="8" fillId="5" borderId="4" xfId="20" applyNumberFormat="1" applyFont="1" applyFill="1" applyBorder="1" applyAlignment="1"/>
    <xf numFmtId="166" fontId="4" fillId="5" borderId="1" xfId="20" applyNumberFormat="1" applyFont="1" applyFill="1" applyBorder="1" applyAlignment="1"/>
    <xf numFmtId="168" fontId="8" fillId="5" borderId="0" xfId="14" applyNumberFormat="1" applyFont="1" applyFill="1" applyBorder="1"/>
    <xf numFmtId="168" fontId="8" fillId="5" borderId="2" xfId="14" applyNumberFormat="1" applyFont="1" applyFill="1" applyBorder="1"/>
    <xf numFmtId="166" fontId="8" fillId="0" borderId="2" xfId="14" applyNumberFormat="1" applyFont="1" applyFill="1" applyBorder="1" applyAlignment="1"/>
    <xf numFmtId="166" fontId="8" fillId="0" borderId="4" xfId="14" applyNumberFormat="1" applyFont="1" applyFill="1" applyBorder="1" applyAlignment="1"/>
    <xf numFmtId="166" fontId="4" fillId="0" borderId="1" xfId="14" applyNumberFormat="1" applyFont="1" applyFill="1" applyBorder="1" applyAlignment="1"/>
    <xf numFmtId="0" fontId="24" fillId="2" borderId="0" xfId="5" applyFont="1" applyFill="1" applyBorder="1">
      <protection locked="0"/>
    </xf>
    <xf numFmtId="15" fontId="4" fillId="2" borderId="18" xfId="24" quotePrefix="1" applyNumberFormat="1" applyFont="1" applyFill="1" applyBorder="1"/>
    <xf numFmtId="0" fontId="5" fillId="0" borderId="0" xfId="5">
      <protection locked="0"/>
    </xf>
    <xf numFmtId="176" fontId="4" fillId="6" borderId="0" xfId="31" applyNumberFormat="1" applyFont="1" applyFill="1" applyBorder="1" applyAlignment="1">
      <alignment vertical="top"/>
    </xf>
    <xf numFmtId="0" fontId="4" fillId="0" borderId="0" xfId="6" applyFont="1"/>
    <xf numFmtId="0" fontId="5" fillId="0" borderId="0" xfId="5" applyFill="1">
      <protection locked="0"/>
    </xf>
    <xf numFmtId="0" fontId="7" fillId="0" borderId="0" xfId="22" applyFont="1"/>
    <xf numFmtId="0" fontId="24" fillId="2" borderId="0" xfId="5" applyFont="1" applyFill="1" applyBorder="1">
      <protection locked="0"/>
    </xf>
    <xf numFmtId="0" fontId="4" fillId="0" borderId="0" xfId="14" applyFont="1" applyFill="1" applyBorder="1" applyAlignment="1"/>
    <xf numFmtId="0" fontId="8" fillId="0" borderId="0" xfId="14" applyNumberFormat="1" applyFont="1" applyFill="1" applyBorder="1" applyAlignment="1">
      <alignment vertical="top" wrapText="1"/>
    </xf>
    <xf numFmtId="0" fontId="0" fillId="0" borderId="0" xfId="0" applyAlignment="1">
      <alignment vertical="top" wrapText="1"/>
    </xf>
    <xf numFmtId="0" fontId="0" fillId="0" borderId="0" xfId="0" applyFill="1" applyAlignment="1">
      <alignment vertical="top" wrapText="1"/>
    </xf>
    <xf numFmtId="0" fontId="8" fillId="0" borderId="0" xfId="14" applyFont="1" applyFill="1" applyAlignment="1">
      <alignment vertical="top" wrapText="1"/>
    </xf>
    <xf numFmtId="0" fontId="8" fillId="0" borderId="0" xfId="14" applyFont="1" applyFill="1" applyBorder="1"/>
    <xf numFmtId="166" fontId="8" fillId="5" borderId="0" xfId="14" applyNumberFormat="1" applyFont="1" applyFill="1" applyBorder="1"/>
    <xf numFmtId="166" fontId="4" fillId="5" borderId="1" xfId="14" applyNumberFormat="1" applyFont="1" applyFill="1" applyBorder="1"/>
    <xf numFmtId="166" fontId="8" fillId="5" borderId="0" xfId="3" applyNumberFormat="1" applyFont="1" applyFill="1" applyBorder="1" applyAlignment="1">
      <alignment horizontal="right"/>
    </xf>
    <xf numFmtId="166" fontId="8" fillId="5" borderId="2" xfId="3" applyNumberFormat="1" applyFont="1" applyFill="1" applyBorder="1" applyAlignment="1">
      <alignment horizontal="right"/>
    </xf>
    <xf numFmtId="166" fontId="8" fillId="5" borderId="0" xfId="2" applyNumberFormat="1" applyFont="1" applyFill="1"/>
    <xf numFmtId="166" fontId="4" fillId="5" borderId="1" xfId="3" applyNumberFormat="1" applyFont="1" applyFill="1" applyBorder="1" applyAlignment="1">
      <alignment horizontal="right"/>
    </xf>
    <xf numFmtId="166" fontId="8" fillId="5" borderId="2" xfId="2" applyNumberFormat="1" applyFont="1" applyFill="1" applyBorder="1"/>
    <xf numFmtId="166" fontId="4" fillId="5" borderId="3" xfId="3" applyNumberFormat="1" applyFont="1" applyFill="1" applyBorder="1" applyAlignment="1">
      <alignment horizontal="right"/>
    </xf>
    <xf numFmtId="166" fontId="8" fillId="5" borderId="0" xfId="2" applyNumberFormat="1" applyFont="1" applyFill="1" applyBorder="1"/>
    <xf numFmtId="166" fontId="10" fillId="5" borderId="0" xfId="8" applyNumberFormat="1" applyFont="1" applyFill="1"/>
    <xf numFmtId="166" fontId="4" fillId="5" borderId="0" xfId="3" applyNumberFormat="1" applyFont="1" applyFill="1" applyBorder="1" applyAlignment="1">
      <alignment horizontal="right"/>
    </xf>
    <xf numFmtId="166" fontId="4" fillId="5" borderId="3" xfId="2" applyNumberFormat="1" applyFont="1" applyFill="1" applyBorder="1"/>
    <xf numFmtId="0" fontId="8" fillId="5" borderId="0" xfId="14" applyFont="1" applyFill="1" applyBorder="1" applyAlignment="1">
      <alignment horizontal="right"/>
    </xf>
    <xf numFmtId="165" fontId="8" fillId="5" borderId="0" xfId="3" applyNumberFormat="1" applyFont="1" applyFill="1" applyBorder="1" applyAlignment="1"/>
    <xf numFmtId="167" fontId="8" fillId="5" borderId="0" xfId="3" applyNumberFormat="1" applyFont="1" applyFill="1" applyBorder="1" applyAlignment="1">
      <alignment horizontal="right"/>
    </xf>
    <xf numFmtId="167" fontId="4" fillId="5" borderId="0" xfId="3" applyNumberFormat="1" applyFont="1" applyFill="1" applyBorder="1" applyAlignment="1">
      <alignment horizontal="right"/>
    </xf>
    <xf numFmtId="0" fontId="8" fillId="5" borderId="0" xfId="14" applyFont="1" applyFill="1" applyBorder="1"/>
    <xf numFmtId="165" fontId="8" fillId="5" borderId="0" xfId="3" applyNumberFormat="1" applyFont="1" applyFill="1" applyBorder="1"/>
    <xf numFmtId="167" fontId="8" fillId="5" borderId="0" xfId="14" applyNumberFormat="1" applyFont="1" applyFill="1" applyBorder="1" applyAlignment="1">
      <alignment horizontal="right"/>
    </xf>
    <xf numFmtId="167" fontId="4" fillId="5" borderId="0" xfId="14" applyNumberFormat="1" applyFont="1" applyFill="1" applyBorder="1" applyAlignment="1">
      <alignment horizontal="right"/>
    </xf>
    <xf numFmtId="168" fontId="8" fillId="5" borderId="0" xfId="14" applyNumberFormat="1" applyFont="1" applyFill="1" applyBorder="1" applyAlignment="1">
      <alignment horizontal="right"/>
    </xf>
    <xf numFmtId="0" fontId="8" fillId="5" borderId="0" xfId="7" applyFont="1" applyFill="1" applyAlignment="1">
      <alignment horizontal="right"/>
    </xf>
    <xf numFmtId="166" fontId="8" fillId="5" borderId="0" xfId="4" applyNumberFormat="1" applyFont="1" applyFill="1" applyBorder="1" applyAlignment="1">
      <alignment horizontal="right"/>
    </xf>
    <xf numFmtId="166" fontId="8" fillId="5" borderId="2" xfId="4" applyNumberFormat="1" applyFont="1" applyFill="1" applyBorder="1" applyAlignment="1">
      <alignment horizontal="right"/>
    </xf>
    <xf numFmtId="166" fontId="4" fillId="5" borderId="0" xfId="4" applyNumberFormat="1" applyFont="1" applyFill="1" applyBorder="1" applyAlignment="1">
      <alignment horizontal="right"/>
    </xf>
    <xf numFmtId="166" fontId="4" fillId="5" borderId="4" xfId="3" applyNumberFormat="1" applyFont="1" applyFill="1" applyBorder="1" applyAlignment="1">
      <alignment horizontal="right"/>
    </xf>
    <xf numFmtId="170" fontId="4" fillId="5" borderId="0" xfId="28" applyNumberFormat="1" applyFont="1" applyFill="1" applyBorder="1" applyAlignment="1">
      <alignment horizontal="right"/>
    </xf>
    <xf numFmtId="166" fontId="4" fillId="5" borderId="1" xfId="4" applyNumberFormat="1" applyFont="1" applyFill="1" applyBorder="1" applyAlignment="1">
      <alignment horizontal="right"/>
    </xf>
    <xf numFmtId="168" fontId="8" fillId="5" borderId="0" xfId="4" applyNumberFormat="1" applyFont="1" applyFill="1" applyBorder="1" applyAlignment="1">
      <alignment horizontal="right"/>
    </xf>
    <xf numFmtId="166" fontId="8" fillId="5" borderId="0" xfId="28" applyNumberFormat="1" applyFont="1" applyFill="1" applyBorder="1" applyAlignment="1">
      <alignment horizontal="right"/>
    </xf>
    <xf numFmtId="172" fontId="8" fillId="5" borderId="0" xfId="4" applyNumberFormat="1" applyFont="1" applyFill="1" applyBorder="1" applyAlignment="1">
      <alignment horizontal="right"/>
    </xf>
    <xf numFmtId="170" fontId="8" fillId="5" borderId="0" xfId="28" applyNumberFormat="1" applyFont="1" applyFill="1" applyBorder="1" applyAlignment="1">
      <alignment horizontal="right"/>
    </xf>
    <xf numFmtId="170" fontId="8" fillId="5" borderId="0" xfId="29" applyNumberFormat="1" applyFont="1" applyFill="1" applyBorder="1" applyAlignment="1"/>
    <xf numFmtId="171" fontId="8" fillId="5" borderId="0" xfId="29" applyNumberFormat="1" applyFont="1" applyFill="1" applyBorder="1" applyAlignment="1">
      <alignment horizontal="right"/>
    </xf>
    <xf numFmtId="171" fontId="4" fillId="5" borderId="0" xfId="29" applyNumberFormat="1" applyFont="1" applyFill="1" applyBorder="1" applyAlignment="1">
      <alignment horizontal="right"/>
    </xf>
    <xf numFmtId="171" fontId="4" fillId="5" borderId="0" xfId="15" applyNumberFormat="1" applyFont="1" applyFill="1" applyAlignment="1">
      <alignment horizontal="right"/>
    </xf>
    <xf numFmtId="171" fontId="8" fillId="5" borderId="0" xfId="27" applyNumberFormat="1" applyFont="1" applyFill="1" applyBorder="1" applyAlignment="1">
      <alignment horizontal="right"/>
    </xf>
    <xf numFmtId="166" fontId="8" fillId="5" borderId="5" xfId="14" applyNumberFormat="1" applyFont="1" applyFill="1" applyBorder="1"/>
    <xf numFmtId="166" fontId="4" fillId="5" borderId="0" xfId="14" applyNumberFormat="1" applyFont="1" applyFill="1" applyBorder="1"/>
    <xf numFmtId="166" fontId="8" fillId="5" borderId="2" xfId="14" applyNumberFormat="1" applyFont="1" applyFill="1" applyBorder="1"/>
    <xf numFmtId="173" fontId="8" fillId="5" borderId="0" xfId="16" applyNumberFormat="1" applyFont="1" applyFill="1" applyBorder="1" applyAlignment="1">
      <alignment horizontal="right"/>
    </xf>
    <xf numFmtId="174" fontId="4" fillId="5" borderId="0" xfId="27" applyNumberFormat="1" applyFont="1" applyFill="1" applyBorder="1" applyAlignment="1"/>
    <xf numFmtId="166" fontId="4" fillId="5" borderId="0" xfId="14" applyNumberFormat="1" applyFont="1" applyFill="1" applyBorder="1" applyAlignment="1"/>
    <xf numFmtId="166" fontId="8" fillId="5" borderId="2" xfId="14" applyNumberFormat="1" applyFont="1" applyFill="1" applyBorder="1" applyAlignment="1"/>
    <xf numFmtId="166" fontId="4" fillId="5" borderId="1" xfId="14" applyNumberFormat="1" applyFont="1" applyFill="1" applyBorder="1" applyAlignment="1"/>
    <xf numFmtId="166" fontId="8" fillId="5" borderId="0" xfId="14" applyNumberFormat="1" applyFont="1" applyFill="1" applyBorder="1" applyAlignment="1">
      <alignment vertical="center"/>
    </xf>
    <xf numFmtId="166" fontId="8" fillId="5" borderId="4" xfId="14" applyNumberFormat="1" applyFont="1" applyFill="1" applyBorder="1" applyAlignment="1"/>
    <xf numFmtId="0" fontId="8" fillId="5" borderId="0" xfId="15" applyFont="1" applyFill="1" applyBorder="1" applyAlignment="1">
      <alignment horizontal="right" vertical="top" wrapText="1"/>
    </xf>
    <xf numFmtId="0" fontId="8" fillId="5" borderId="0" xfId="9" applyFont="1" applyFill="1" applyAlignment="1">
      <alignment horizontal="right"/>
    </xf>
    <xf numFmtId="166" fontId="8" fillId="5" borderId="0" xfId="15" applyNumberFormat="1" applyFont="1" applyFill="1" applyBorder="1" applyAlignment="1">
      <alignment horizontal="right"/>
    </xf>
    <xf numFmtId="166" fontId="8" fillId="5" borderId="0" xfId="14" applyNumberFormat="1" applyFont="1" applyFill="1" applyBorder="1" applyAlignment="1">
      <alignment horizontal="right"/>
    </xf>
    <xf numFmtId="166" fontId="8" fillId="5" borderId="2" xfId="15" applyNumberFormat="1" applyFont="1" applyFill="1" applyBorder="1" applyAlignment="1">
      <alignment horizontal="right"/>
    </xf>
    <xf numFmtId="166" fontId="4" fillId="5" borderId="0" xfId="15" applyNumberFormat="1" applyFont="1" applyFill="1" applyBorder="1" applyAlignment="1">
      <alignment horizontal="right"/>
    </xf>
    <xf numFmtId="166" fontId="4" fillId="5" borderId="1" xfId="15" applyNumberFormat="1" applyFont="1" applyFill="1" applyBorder="1" applyAlignment="1">
      <alignment horizontal="right"/>
    </xf>
    <xf numFmtId="0" fontId="8" fillId="5" borderId="0" xfId="14" applyFont="1" applyFill="1"/>
    <xf numFmtId="170" fontId="8" fillId="5" borderId="0" xfId="27" applyNumberFormat="1" applyFont="1" applyFill="1" applyAlignment="1"/>
    <xf numFmtId="170" fontId="8" fillId="5" borderId="2" xfId="27" applyNumberFormat="1" applyFont="1" applyFill="1" applyBorder="1" applyAlignment="1"/>
    <xf numFmtId="170" fontId="4" fillId="5" borderId="0" xfId="27" applyNumberFormat="1" applyFont="1" applyFill="1" applyAlignment="1"/>
    <xf numFmtId="170" fontId="8" fillId="5" borderId="0" xfId="27" applyNumberFormat="1" applyFont="1" applyFill="1" applyBorder="1" applyAlignment="1"/>
    <xf numFmtId="170" fontId="4" fillId="5" borderId="3" xfId="27" applyNumberFormat="1" applyFont="1" applyFill="1" applyBorder="1" applyAlignment="1"/>
    <xf numFmtId="170" fontId="4" fillId="5" borderId="1" xfId="27" applyNumberFormat="1" applyFont="1" applyFill="1" applyBorder="1" applyAlignment="1"/>
    <xf numFmtId="170" fontId="8" fillId="5" borderId="0" xfId="27" applyNumberFormat="1" applyFont="1" applyFill="1" applyAlignment="1">
      <alignment horizontal="right"/>
    </xf>
    <xf numFmtId="166" fontId="8" fillId="5" borderId="0" xfId="3" applyNumberFormat="1" applyFont="1" applyFill="1" applyBorder="1" applyAlignment="1"/>
    <xf numFmtId="0" fontId="8" fillId="5" borderId="0" xfId="14" applyFont="1" applyFill="1" applyAlignment="1"/>
    <xf numFmtId="175" fontId="8" fillId="5" borderId="0" xfId="14" applyNumberFormat="1" applyFont="1" applyFill="1" applyBorder="1" applyAlignment="1"/>
    <xf numFmtId="167" fontId="8" fillId="5" borderId="0" xfId="3" applyNumberFormat="1" applyFont="1" applyFill="1" applyBorder="1" applyAlignment="1"/>
    <xf numFmtId="167" fontId="8" fillId="5" borderId="0" xfId="14" applyNumberFormat="1" applyFont="1" applyFill="1" applyBorder="1" applyAlignment="1"/>
    <xf numFmtId="170" fontId="8" fillId="5" borderId="0" xfId="14" applyNumberFormat="1" applyFont="1" applyFill="1" applyBorder="1" applyAlignment="1"/>
    <xf numFmtId="170" fontId="4" fillId="5" borderId="0" xfId="14" applyNumberFormat="1" applyFont="1" applyFill="1" applyBorder="1" applyAlignment="1"/>
    <xf numFmtId="0" fontId="8" fillId="0" borderId="0" xfId="14" applyFont="1" applyFill="1" applyAlignment="1">
      <alignment horizontal="left" vertical="top"/>
    </xf>
    <xf numFmtId="0" fontId="8" fillId="0" borderId="0" xfId="14" applyFont="1" applyFill="1" applyBorder="1" applyAlignment="1"/>
    <xf numFmtId="0" fontId="4" fillId="0" borderId="0" xfId="14" applyFont="1" applyFill="1" applyBorder="1" applyAlignment="1"/>
    <xf numFmtId="0" fontId="8" fillId="0" borderId="0" xfId="14" applyFont="1" applyFill="1" applyBorder="1"/>
    <xf numFmtId="0" fontId="8" fillId="0" borderId="0" xfId="14" applyFont="1" applyFill="1" applyAlignment="1">
      <alignment horizontal="left" vertical="top"/>
    </xf>
    <xf numFmtId="166" fontId="8" fillId="0" borderId="0" xfId="14" applyNumberFormat="1" applyFont="1" applyFill="1" applyAlignment="1"/>
    <xf numFmtId="0" fontId="8" fillId="0" borderId="0" xfId="14" applyFont="1" applyFill="1" applyAlignment="1">
      <alignment vertical="top" wrapText="1"/>
    </xf>
    <xf numFmtId="0" fontId="8" fillId="0" borderId="0" xfId="14" applyFont="1" applyFill="1" applyAlignment="1">
      <alignment horizontal="left" vertical="top" wrapText="1"/>
    </xf>
    <xf numFmtId="0" fontId="8" fillId="0" borderId="0" xfId="14" applyFont="1" applyFill="1" applyAlignment="1">
      <alignment horizontal="left" vertical="top"/>
    </xf>
    <xf numFmtId="2" fontId="8" fillId="0" borderId="11" xfId="26" applyNumberFormat="1" applyFont="1" applyFill="1" applyBorder="1" applyAlignment="1">
      <alignment horizontal="right" wrapText="1"/>
    </xf>
    <xf numFmtId="2" fontId="8" fillId="0" borderId="14" xfId="26" applyNumberFormat="1" applyFont="1" applyFill="1" applyBorder="1" applyAlignment="1">
      <alignment horizontal="right" wrapText="1"/>
    </xf>
    <xf numFmtId="2" fontId="8" fillId="0" borderId="4" xfId="26" applyNumberFormat="1" applyFont="1" applyFill="1" applyBorder="1" applyAlignment="1">
      <alignment horizontal="right" wrapText="1"/>
    </xf>
    <xf numFmtId="2" fontId="8" fillId="0" borderId="7" xfId="26" applyNumberFormat="1" applyFont="1" applyFill="1" applyBorder="1" applyAlignment="1">
      <alignment horizontal="right" wrapText="1"/>
    </xf>
    <xf numFmtId="2" fontId="8" fillId="0" borderId="0" xfId="26" applyNumberFormat="1" applyFont="1" applyFill="1" applyBorder="1" applyAlignment="1">
      <alignment horizontal="right" wrapText="1"/>
    </xf>
    <xf numFmtId="2" fontId="8" fillId="0" borderId="13" xfId="26" applyNumberFormat="1" applyFont="1" applyFill="1" applyBorder="1" applyAlignment="1">
      <alignment horizontal="right" wrapText="1"/>
    </xf>
    <xf numFmtId="2" fontId="8" fillId="0" borderId="2" xfId="26" applyNumberFormat="1" applyFont="1" applyFill="1" applyBorder="1" applyAlignment="1">
      <alignment horizontal="right" wrapText="1"/>
    </xf>
    <xf numFmtId="2" fontId="8" fillId="0" borderId="9" xfId="26" applyNumberFormat="1" applyFont="1" applyFill="1" applyBorder="1" applyAlignment="1">
      <alignment horizontal="right" wrapText="1"/>
    </xf>
    <xf numFmtId="0" fontId="8" fillId="0" borderId="0" xfId="14" applyFont="1" applyFill="1" applyAlignment="1">
      <alignment wrapText="1"/>
    </xf>
    <xf numFmtId="0" fontId="8" fillId="0" borderId="0" xfId="14" applyFont="1" applyFill="1" applyAlignment="1">
      <alignment horizontal="left" vertical="top"/>
    </xf>
    <xf numFmtId="2" fontId="8" fillId="0" borderId="7" xfId="25" applyNumberFormat="1" applyFont="1" applyFill="1" applyBorder="1" applyAlignment="1">
      <alignment horizontal="right" wrapText="1"/>
    </xf>
    <xf numFmtId="2" fontId="8" fillId="0" borderId="13" xfId="25" applyNumberFormat="1" applyFont="1" applyFill="1" applyBorder="1" applyAlignment="1">
      <alignment horizontal="right" wrapText="1"/>
    </xf>
    <xf numFmtId="2" fontId="8" fillId="0" borderId="9" xfId="25" applyNumberFormat="1" applyFont="1" applyFill="1" applyBorder="1" applyAlignment="1">
      <alignment horizontal="right" wrapText="1"/>
    </xf>
    <xf numFmtId="0" fontId="4" fillId="0" borderId="0" xfId="14" quotePrefix="1" applyFont="1" applyFill="1"/>
    <xf numFmtId="0" fontId="8" fillId="0" borderId="0" xfId="14" applyFont="1" applyFill="1" applyBorder="1" applyAlignment="1"/>
    <xf numFmtId="0" fontId="8" fillId="2" borderId="0" xfId="14" applyFont="1" applyFill="1" applyBorder="1" applyAlignment="1">
      <alignment horizontal="left" vertical="top"/>
    </xf>
    <xf numFmtId="0" fontId="8" fillId="0" borderId="0" xfId="14" applyFont="1" applyFill="1" applyBorder="1" applyAlignment="1">
      <alignment horizontal="left"/>
    </xf>
    <xf numFmtId="0" fontId="8" fillId="0" borderId="0" xfId="14" applyFont="1" applyFill="1" applyBorder="1"/>
    <xf numFmtId="0" fontId="44" fillId="0" borderId="0" xfId="0" applyFont="1"/>
    <xf numFmtId="49" fontId="45" fillId="0" borderId="0" xfId="14" applyNumberFormat="1" applyFont="1" applyFill="1" applyBorder="1" applyAlignment="1">
      <alignment vertical="top"/>
    </xf>
    <xf numFmtId="166" fontId="8" fillId="2" borderId="2" xfId="16" applyNumberFormat="1" applyFont="1" applyFill="1" applyBorder="1"/>
    <xf numFmtId="166" fontId="4" fillId="2" borderId="0" xfId="16" applyNumberFormat="1" applyFont="1" applyFill="1" applyBorder="1"/>
    <xf numFmtId="166" fontId="4" fillId="2" borderId="3" xfId="16" applyNumberFormat="1" applyFont="1" applyFill="1" applyBorder="1"/>
    <xf numFmtId="166" fontId="8" fillId="5" borderId="0" xfId="16" applyNumberFormat="1" applyFont="1" applyFill="1" applyBorder="1"/>
    <xf numFmtId="166" fontId="8" fillId="5" borderId="2" xfId="16" applyNumberFormat="1" applyFont="1" applyFill="1" applyBorder="1"/>
    <xf numFmtId="166" fontId="4" fillId="5" borderId="0" xfId="16" applyNumberFormat="1" applyFont="1" applyFill="1" applyBorder="1"/>
    <xf numFmtId="166" fontId="4" fillId="5" borderId="3" xfId="16" applyNumberFormat="1" applyFont="1" applyFill="1" applyBorder="1"/>
    <xf numFmtId="166" fontId="8" fillId="0" borderId="0" xfId="16" applyNumberFormat="1" applyFont="1" applyFill="1" applyBorder="1"/>
    <xf numFmtId="166" fontId="4" fillId="4" borderId="0" xfId="14" applyNumberFormat="1" applyFont="1" applyFill="1" applyBorder="1" applyAlignment="1">
      <alignment horizontal="right"/>
    </xf>
    <xf numFmtId="166" fontId="4" fillId="2" borderId="0" xfId="14" applyNumberFormat="1" applyFont="1" applyFill="1" applyBorder="1" applyAlignment="1">
      <alignment horizontal="right"/>
    </xf>
    <xf numFmtId="0" fontId="42" fillId="2" borderId="0" xfId="24" applyFont="1" applyFill="1" applyAlignment="1">
      <alignment wrapText="1"/>
    </xf>
    <xf numFmtId="166" fontId="8" fillId="4" borderId="2" xfId="14" applyNumberFormat="1" applyFont="1" applyFill="1" applyBorder="1" applyAlignment="1">
      <alignment horizontal="right"/>
    </xf>
    <xf numFmtId="166" fontId="8" fillId="2" borderId="2" xfId="14" applyNumberFormat="1" applyFont="1" applyFill="1" applyBorder="1" applyAlignment="1">
      <alignment horizontal="right"/>
    </xf>
    <xf numFmtId="0" fontId="42" fillId="6" borderId="18" xfId="31" applyFont="1" applyFill="1" applyBorder="1" applyAlignment="1">
      <alignment vertical="top" wrapText="1"/>
    </xf>
    <xf numFmtId="176" fontId="8" fillId="8" borderId="18" xfId="31" applyNumberFormat="1" applyFont="1" applyFill="1" applyBorder="1" applyAlignment="1">
      <alignment horizontal="right" wrapText="1"/>
    </xf>
    <xf numFmtId="176" fontId="4" fillId="2" borderId="18" xfId="31" applyNumberFormat="1" applyFont="1" applyFill="1" applyBorder="1" applyAlignment="1">
      <alignment horizontal="right" wrapText="1"/>
    </xf>
    <xf numFmtId="176" fontId="8" fillId="6" borderId="18" xfId="31" applyNumberFormat="1" applyFont="1" applyFill="1" applyBorder="1" applyAlignment="1">
      <alignment horizontal="right" wrapText="1"/>
    </xf>
    <xf numFmtId="0" fontId="4" fillId="0" borderId="0" xfId="22" applyFont="1" applyFill="1"/>
    <xf numFmtId="0" fontId="23" fillId="0" borderId="0" xfId="11" applyFont="1" applyAlignment="1">
      <alignment vertical="center"/>
    </xf>
    <xf numFmtId="166" fontId="8" fillId="0" borderId="0" xfId="14" applyNumberFormat="1" applyFont="1" applyFill="1"/>
    <xf numFmtId="166" fontId="8" fillId="2" borderId="0" xfId="14" applyNumberFormat="1" applyFont="1" applyFill="1"/>
    <xf numFmtId="166" fontId="0" fillId="0" borderId="0" xfId="0" applyNumberFormat="1"/>
    <xf numFmtId="0" fontId="8" fillId="0" borderId="0" xfId="21" applyFont="1" applyBorder="1" applyAlignment="1">
      <alignment vertical="top" wrapText="1" readingOrder="1"/>
    </xf>
    <xf numFmtId="0" fontId="8" fillId="0" borderId="0" xfId="14" applyNumberFormat="1" applyFont="1" applyFill="1" applyBorder="1" applyAlignment="1">
      <alignment vertical="top" wrapText="1"/>
    </xf>
    <xf numFmtId="0" fontId="0" fillId="0" borderId="0" xfId="0" applyAlignment="1">
      <alignment vertical="top" wrapText="1"/>
    </xf>
    <xf numFmtId="0" fontId="8" fillId="0" borderId="0" xfId="14" applyFont="1" applyFill="1" applyBorder="1" applyAlignment="1">
      <alignment wrapText="1"/>
    </xf>
    <xf numFmtId="0" fontId="0" fillId="0" borderId="0" xfId="0" applyAlignment="1">
      <alignment wrapText="1"/>
    </xf>
    <xf numFmtId="0" fontId="8" fillId="0" borderId="0" xfId="14" applyFont="1" applyFill="1" applyBorder="1" applyAlignment="1">
      <alignment vertical="top" wrapText="1"/>
    </xf>
    <xf numFmtId="0" fontId="0" fillId="0" borderId="0" xfId="0" applyFill="1" applyAlignment="1">
      <alignment vertical="top" wrapText="1"/>
    </xf>
    <xf numFmtId="0" fontId="8" fillId="0" borderId="0" xfId="14" applyFont="1" applyFill="1" applyBorder="1" applyAlignment="1"/>
    <xf numFmtId="0" fontId="8" fillId="0" borderId="2" xfId="14" applyFont="1" applyFill="1" applyBorder="1" applyAlignment="1">
      <alignment horizontal="center"/>
    </xf>
    <xf numFmtId="0" fontId="4" fillId="0" borderId="0" xfId="14" applyFont="1" applyFill="1" applyBorder="1" applyAlignment="1"/>
    <xf numFmtId="0" fontId="8" fillId="3" borderId="0" xfId="14" applyFont="1" applyFill="1" applyBorder="1" applyAlignment="1">
      <alignment horizontal="left" wrapText="1"/>
    </xf>
    <xf numFmtId="170" fontId="8" fillId="0" borderId="2" xfId="27" applyNumberFormat="1" applyFont="1" applyFill="1" applyBorder="1" applyAlignment="1">
      <alignment horizontal="center"/>
    </xf>
    <xf numFmtId="0" fontId="8" fillId="0" borderId="0" xfId="14" applyFont="1" applyFill="1" applyAlignment="1">
      <alignment vertical="top" wrapText="1"/>
    </xf>
    <xf numFmtId="0" fontId="8" fillId="2" borderId="0" xfId="14" applyFont="1" applyFill="1" applyAlignment="1">
      <alignment wrapText="1"/>
    </xf>
    <xf numFmtId="0" fontId="8" fillId="2" borderId="0" xfId="14" applyFont="1" applyFill="1" applyAlignment="1">
      <alignment vertical="top" wrapText="1"/>
    </xf>
    <xf numFmtId="0" fontId="8" fillId="2" borderId="0" xfId="14" applyFont="1" applyFill="1" applyBorder="1" applyAlignment="1">
      <alignment wrapText="1"/>
    </xf>
    <xf numFmtId="0" fontId="0" fillId="0" borderId="0" xfId="0" applyFont="1" applyAlignment="1">
      <alignment wrapText="1"/>
    </xf>
    <xf numFmtId="0" fontId="4" fillId="2" borderId="0" xfId="14" applyFont="1" applyFill="1" applyBorder="1" applyAlignment="1">
      <alignment wrapText="1"/>
    </xf>
    <xf numFmtId="0" fontId="45" fillId="0" borderId="0" xfId="14" applyFont="1" applyFill="1" applyAlignment="1">
      <alignment vertical="top" wrapText="1"/>
    </xf>
    <xf numFmtId="0" fontId="4" fillId="3" borderId="0" xfId="14" applyFont="1" applyFill="1" applyBorder="1" applyAlignment="1">
      <alignment wrapText="1"/>
    </xf>
    <xf numFmtId="0" fontId="0" fillId="3" borderId="0" xfId="0" applyFill="1" applyAlignment="1">
      <alignment wrapText="1"/>
    </xf>
    <xf numFmtId="0" fontId="8" fillId="0" borderId="0" xfId="14" applyFont="1" applyAlignment="1">
      <alignment vertical="top" wrapText="1"/>
    </xf>
    <xf numFmtId="0" fontId="4" fillId="2" borderId="0" xfId="15" applyFont="1" applyFill="1" applyBorder="1" applyAlignment="1">
      <alignment wrapText="1"/>
    </xf>
    <xf numFmtId="0" fontId="23" fillId="0" borderId="0" xfId="10" applyAlignment="1">
      <alignment wrapText="1"/>
    </xf>
    <xf numFmtId="0" fontId="8" fillId="0" borderId="0" xfId="14" applyFont="1" applyAlignment="1">
      <alignment horizontal="left" vertical="top" wrapText="1"/>
    </xf>
    <xf numFmtId="0" fontId="45" fillId="2" borderId="0" xfId="14" applyFont="1" applyFill="1" applyBorder="1" applyAlignment="1">
      <alignment horizontal="left" vertical="top" wrapText="1"/>
    </xf>
    <xf numFmtId="0" fontId="8" fillId="0" borderId="0" xfId="14" applyFont="1" applyFill="1" applyBorder="1" applyAlignment="1">
      <alignment horizontal="left" vertical="top" wrapText="1"/>
    </xf>
    <xf numFmtId="0" fontId="8" fillId="0" borderId="0" xfId="14" applyFont="1" applyFill="1" applyBorder="1" applyAlignment="1">
      <alignment horizontal="left"/>
    </xf>
    <xf numFmtId="0" fontId="0" fillId="0" borderId="0" xfId="0" applyFont="1" applyAlignment="1">
      <alignment horizontal="left"/>
    </xf>
    <xf numFmtId="0" fontId="8" fillId="0" borderId="0" xfId="14" applyFont="1" applyFill="1" applyBorder="1" applyAlignment="1">
      <alignment horizontal="left" vertical="center"/>
    </xf>
    <xf numFmtId="0" fontId="0" fillId="0" borderId="0" xfId="0" applyAlignment="1">
      <alignment horizontal="left" vertical="center"/>
    </xf>
    <xf numFmtId="0" fontId="4" fillId="0" borderId="0" xfId="14" applyFont="1" applyFill="1" applyBorder="1" applyAlignment="1">
      <alignment horizontal="left"/>
    </xf>
    <xf numFmtId="0" fontId="15" fillId="0" borderId="0" xfId="0" applyFont="1" applyAlignment="1">
      <alignment horizontal="left"/>
    </xf>
    <xf numFmtId="0" fontId="8" fillId="0" borderId="2" xfId="14" applyFont="1" applyFill="1" applyBorder="1" applyAlignment="1">
      <alignment horizontal="center" wrapText="1"/>
    </xf>
    <xf numFmtId="0" fontId="45" fillId="0" borderId="0" xfId="14" applyFont="1" applyFill="1" applyBorder="1" applyAlignment="1">
      <alignment horizontal="left" vertical="top" wrapText="1"/>
    </xf>
    <xf numFmtId="0" fontId="8" fillId="0" borderId="0" xfId="14" applyFont="1" applyFill="1" applyBorder="1"/>
    <xf numFmtId="0" fontId="4" fillId="0" borderId="2" xfId="14" applyFont="1" applyFill="1" applyBorder="1" applyAlignment="1">
      <alignment horizontal="center" vertical="center"/>
    </xf>
    <xf numFmtId="0" fontId="23" fillId="0" borderId="0" xfId="6" applyAlignment="1">
      <alignment vertical="center" wrapText="1"/>
    </xf>
    <xf numFmtId="0" fontId="8" fillId="0" borderId="0" xfId="14" applyFont="1" applyFill="1" applyAlignment="1">
      <alignment wrapText="1"/>
    </xf>
    <xf numFmtId="0" fontId="4" fillId="0" borderId="0" xfId="14" applyFont="1" applyFill="1" applyBorder="1" applyAlignment="1">
      <alignment horizontal="center"/>
    </xf>
    <xf numFmtId="0" fontId="15" fillId="0" borderId="0" xfId="0" applyFont="1" applyBorder="1" applyAlignment="1">
      <alignment horizontal="center"/>
    </xf>
    <xf numFmtId="0" fontId="4" fillId="0" borderId="2" xfId="14" applyFont="1" applyFill="1" applyBorder="1" applyAlignment="1">
      <alignment horizontal="center"/>
    </xf>
    <xf numFmtId="0" fontId="8" fillId="0" borderId="0" xfId="14" applyFont="1" applyFill="1" applyAlignment="1">
      <alignment horizontal="left" vertical="top" wrapText="1"/>
    </xf>
    <xf numFmtId="0" fontId="8" fillId="0" borderId="0" xfId="14" applyFont="1" applyFill="1" applyAlignment="1">
      <alignment horizontal="left" vertical="top"/>
    </xf>
    <xf numFmtId="0" fontId="8" fillId="0" borderId="0" xfId="0" applyFont="1" applyAlignment="1">
      <alignment wrapText="1"/>
    </xf>
    <xf numFmtId="0" fontId="23" fillId="2" borderId="0" xfId="6" applyFill="1" applyAlignment="1">
      <alignment vertical="center" wrapText="1"/>
    </xf>
    <xf numFmtId="0" fontId="0" fillId="0" borderId="2" xfId="0" applyBorder="1" applyAlignment="1">
      <alignment horizontal="center" vertical="center"/>
    </xf>
    <xf numFmtId="0" fontId="8" fillId="0" borderId="15" xfId="6" applyFont="1" applyBorder="1" applyAlignment="1">
      <alignment horizontal="center" vertical="center"/>
    </xf>
    <xf numFmtId="0" fontId="8" fillId="0" borderId="3" xfId="6" applyFont="1" applyBorder="1" applyAlignment="1">
      <alignment horizontal="center" vertical="center"/>
    </xf>
    <xf numFmtId="0" fontId="8" fillId="0" borderId="16" xfId="6" applyFont="1" applyBorder="1" applyAlignment="1">
      <alignment horizontal="center" vertical="center"/>
    </xf>
    <xf numFmtId="0" fontId="4" fillId="2" borderId="0" xfId="24" applyFont="1" applyFill="1" applyAlignment="1">
      <alignment horizontal="left" wrapText="1"/>
    </xf>
    <xf numFmtId="0" fontId="8" fillId="2" borderId="15" xfId="26" applyFont="1" applyFill="1" applyBorder="1" applyAlignment="1">
      <alignment horizontal="center" wrapText="1"/>
    </xf>
    <xf numFmtId="0" fontId="8" fillId="2" borderId="3" xfId="26" applyFont="1" applyFill="1" applyBorder="1" applyAlignment="1">
      <alignment horizontal="center" wrapText="1"/>
    </xf>
    <xf numFmtId="0" fontId="8" fillId="2" borderId="16" xfId="26" applyFont="1" applyFill="1" applyBorder="1" applyAlignment="1">
      <alignment horizontal="center" wrapText="1"/>
    </xf>
    <xf numFmtId="0" fontId="24" fillId="2" borderId="0" xfId="5" applyFont="1" applyFill="1" applyBorder="1">
      <protection locked="0"/>
    </xf>
    <xf numFmtId="0" fontId="24" fillId="0" borderId="0" xfId="5" applyFont="1">
      <protection locked="0"/>
    </xf>
    <xf numFmtId="176" fontId="8" fillId="2" borderId="2" xfId="31" applyNumberFormat="1" applyFont="1" applyFill="1" applyBorder="1" applyAlignment="1">
      <alignment horizontal="right" vertical="top" wrapText="1"/>
    </xf>
    <xf numFmtId="0" fontId="8" fillId="2" borderId="0" xfId="31" applyFont="1" applyFill="1" applyBorder="1" applyAlignment="1">
      <alignment wrapText="1"/>
    </xf>
    <xf numFmtId="176" fontId="8" fillId="6" borderId="2" xfId="24" applyNumberFormat="1" applyFont="1" applyFill="1" applyBorder="1" applyAlignment="1">
      <alignment horizontal="right" vertical="top" wrapText="1"/>
    </xf>
    <xf numFmtId="0" fontId="16" fillId="2" borderId="0" xfId="24" applyFont="1" applyFill="1" applyAlignment="1">
      <alignment wrapText="1"/>
    </xf>
    <xf numFmtId="0" fontId="40" fillId="0" borderId="0" xfId="0" applyFont="1" applyAlignment="1">
      <alignment wrapText="1"/>
    </xf>
  </cellXfs>
  <cellStyles count="37">
    <cellStyle name="%" xfId="30"/>
    <cellStyle name="******************************************" xfId="1"/>
    <cellStyle name="Comma_Display" xfId="2"/>
    <cellStyle name="Comma_FY results 2010 _draft 1" xfId="3"/>
    <cellStyle name="Comma_FY results 2010 _draft 1 2" xfId="4"/>
    <cellStyle name="Followed Hyperlink_Prelims James file" xfId="34"/>
    <cellStyle name="Hyperlink" xfId="5" builtinId="8"/>
    <cellStyle name="Hyperlink_Prelims James file" xfId="33"/>
    <cellStyle name="Normal" xfId="0" builtinId="0"/>
    <cellStyle name="Normal_Display" xfId="6"/>
    <cellStyle name="Normal_Display 2" xfId="7"/>
    <cellStyle name="Normal_Display_1" xfId="8"/>
    <cellStyle name="Normal_Display_1 2" xfId="9"/>
    <cellStyle name="Normal_Display_1 3" xfId="10"/>
    <cellStyle name="Normal_Display_1 4" xfId="35"/>
    <cellStyle name="Normal_Display_2" xfId="11"/>
    <cellStyle name="Normal_Display_2 2" xfId="12"/>
    <cellStyle name="Normal_Display_Display" xfId="13"/>
    <cellStyle name="Normal_FY results 2010 _draft 1" xfId="14"/>
    <cellStyle name="Normal_FY results 2010 _draft 1 2" xfId="15"/>
    <cellStyle name="Normal_FY results 2010 _draft 1_asd" xfId="16"/>
    <cellStyle name="Normal_FY results 2010 _draft 1_Display" xfId="17"/>
    <cellStyle name="Normal_FY results 2010 _draft 1_Display_1" xfId="18"/>
    <cellStyle name="Normal_FY results 2010 _draft 1_Display_Display" xfId="19"/>
    <cellStyle name="Normal_FY results 2010 _draft 1_fcf" xfId="20"/>
    <cellStyle name="Normal_Grp results table" xfId="36"/>
    <cellStyle name="Normal_Index" xfId="21"/>
    <cellStyle name="Normal_KPIs - December 2007 -  Qtr 3 web version - FINAL" xfId="22"/>
    <cellStyle name="Normal_KPIs - December 2007 -  Qtr 3 web version - FINAL_Display" xfId="23"/>
    <cellStyle name="Normal_Prelims James file" xfId="31"/>
    <cellStyle name="Normal_Prelims James file_Display" xfId="32"/>
    <cellStyle name="Normal_Prelims James file_FY results 2010 _draft 1" xfId="24"/>
    <cellStyle name="Normal_Prelims James file_FY results 2010 _draft 1_Display" xfId="25"/>
    <cellStyle name="Normal_Prelims James file_FY results 2010 _draft 1_FY11 H1 results FINAL" xfId="26"/>
    <cellStyle name="Percent" xfId="27" builtinId="5"/>
    <cellStyle name="Percent 2" xfId="28"/>
    <cellStyle name="Percent 2_Display" xfId="29"/>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0"/>
  <sheetViews>
    <sheetView showGridLines="0" tabSelected="1" workbookViewId="0"/>
  </sheetViews>
  <sheetFormatPr defaultRowHeight="12.75" x14ac:dyDescent="0.2"/>
  <cols>
    <col min="1" max="1" width="3.7109375" style="2" customWidth="1"/>
    <col min="2" max="2" width="9.140625" style="9" customWidth="1"/>
    <col min="3" max="3" width="50.7109375" style="9" customWidth="1"/>
    <col min="4" max="8" width="1.7109375" style="9" customWidth="1"/>
    <col min="9" max="15" width="9.140625" style="9" customWidth="1"/>
    <col min="16" max="16" width="3.28515625" style="9" customWidth="1"/>
    <col min="17" max="17" width="9.140625" style="2" customWidth="1"/>
    <col min="18" max="21" width="9.140625" style="9" customWidth="1"/>
    <col min="22" max="256" width="11.42578125" style="9" customWidth="1"/>
    <col min="257" max="16384" width="9.140625" style="9"/>
  </cols>
  <sheetData>
    <row r="1" spans="2:15" ht="22.5" x14ac:dyDescent="0.3">
      <c r="B1" s="1" t="s">
        <v>0</v>
      </c>
      <c r="C1" s="2"/>
      <c r="D1" s="2"/>
      <c r="E1" s="2"/>
      <c r="F1" s="2"/>
      <c r="G1" s="2"/>
      <c r="H1" s="2"/>
      <c r="I1" s="2"/>
      <c r="J1" s="2"/>
      <c r="K1" s="2"/>
      <c r="L1" s="2"/>
      <c r="M1" s="2"/>
      <c r="N1" s="2"/>
      <c r="O1" s="2"/>
    </row>
    <row r="2" spans="2:15" x14ac:dyDescent="0.2">
      <c r="B2" s="2"/>
      <c r="C2" s="2"/>
      <c r="D2" s="2"/>
      <c r="E2" s="2"/>
      <c r="F2" s="2"/>
      <c r="G2" s="2"/>
      <c r="H2" s="2"/>
      <c r="I2" s="2"/>
      <c r="J2" s="2"/>
      <c r="K2" s="2"/>
      <c r="L2" s="2"/>
      <c r="M2" s="2"/>
      <c r="N2" s="2"/>
      <c r="O2" s="2"/>
    </row>
    <row r="3" spans="2:15" x14ac:dyDescent="0.2">
      <c r="B3" s="2"/>
      <c r="C3" s="2"/>
      <c r="D3" s="2"/>
      <c r="E3" s="2"/>
      <c r="F3" s="2"/>
      <c r="G3" s="2"/>
      <c r="H3" s="2"/>
      <c r="I3" s="2"/>
      <c r="J3" s="2"/>
      <c r="K3" s="2"/>
      <c r="L3" s="2"/>
      <c r="M3" s="2"/>
      <c r="N3" s="2"/>
      <c r="O3" s="2"/>
    </row>
    <row r="4" spans="2:15" ht="12.75" customHeight="1" x14ac:dyDescent="0.3">
      <c r="B4" s="3"/>
      <c r="C4" s="2"/>
      <c r="D4" s="2"/>
      <c r="E4" s="2"/>
      <c r="F4" s="2"/>
      <c r="G4" s="2"/>
      <c r="H4" s="2"/>
      <c r="I4" s="4"/>
      <c r="J4" s="2"/>
      <c r="K4" s="2"/>
      <c r="L4" s="2"/>
      <c r="M4" s="2"/>
      <c r="N4" s="2"/>
      <c r="O4" s="2"/>
    </row>
    <row r="5" spans="2:15" x14ac:dyDescent="0.2">
      <c r="B5" s="2"/>
      <c r="C5" s="5"/>
      <c r="D5" s="2"/>
      <c r="E5" s="2"/>
      <c r="F5" s="2"/>
      <c r="G5" s="2"/>
      <c r="H5" s="2"/>
      <c r="I5" s="2"/>
      <c r="J5" s="2"/>
      <c r="K5" s="2"/>
      <c r="L5" s="2"/>
      <c r="M5" s="2"/>
      <c r="N5" s="2"/>
      <c r="O5" s="2"/>
    </row>
    <row r="6" spans="2:15" ht="20.25" x14ac:dyDescent="0.3">
      <c r="B6" s="2"/>
      <c r="C6" s="367" t="s">
        <v>1</v>
      </c>
      <c r="D6" s="2"/>
      <c r="E6" s="2"/>
      <c r="F6" s="2"/>
      <c r="G6" s="2"/>
      <c r="H6" s="2"/>
      <c r="I6" s="4"/>
      <c r="J6" s="2"/>
      <c r="K6" s="2"/>
      <c r="L6" s="2"/>
      <c r="M6" s="2"/>
      <c r="N6" s="2"/>
      <c r="O6" s="2"/>
    </row>
    <row r="7" spans="2:15" ht="20.25" x14ac:dyDescent="0.3">
      <c r="B7" s="2"/>
      <c r="C7" s="367" t="s">
        <v>2</v>
      </c>
      <c r="D7" s="2"/>
      <c r="E7" s="2"/>
      <c r="F7" s="2"/>
      <c r="G7" s="2"/>
      <c r="H7" s="2"/>
      <c r="I7" s="4"/>
      <c r="J7" s="2"/>
      <c r="K7" s="2"/>
      <c r="L7" s="2"/>
      <c r="M7" s="2"/>
      <c r="N7" s="2"/>
      <c r="O7" s="2"/>
    </row>
    <row r="8" spans="2:15" ht="20.25" x14ac:dyDescent="0.3">
      <c r="B8" s="2"/>
      <c r="C8" s="367" t="s">
        <v>3</v>
      </c>
      <c r="D8" s="2"/>
      <c r="E8" s="2"/>
      <c r="F8" s="2"/>
      <c r="G8" s="2"/>
      <c r="H8" s="2"/>
      <c r="I8" s="4"/>
      <c r="J8" s="2"/>
      <c r="K8" s="2"/>
      <c r="L8" s="2"/>
      <c r="M8" s="2"/>
      <c r="N8" s="2"/>
      <c r="O8" s="2"/>
    </row>
    <row r="9" spans="2:15" ht="20.25" x14ac:dyDescent="0.3">
      <c r="B9" s="2"/>
      <c r="C9" s="367" t="s">
        <v>4</v>
      </c>
      <c r="D9" s="2"/>
      <c r="E9" s="2"/>
      <c r="F9" s="2"/>
      <c r="G9" s="2"/>
      <c r="H9" s="2"/>
      <c r="I9" s="4"/>
      <c r="J9" s="2"/>
      <c r="K9" s="2"/>
      <c r="L9" s="2"/>
      <c r="M9" s="2"/>
      <c r="N9" s="2"/>
      <c r="O9" s="2"/>
    </row>
    <row r="10" spans="2:15" ht="20.25" x14ac:dyDescent="0.3">
      <c r="B10" s="6"/>
      <c r="C10" s="367" t="s">
        <v>5</v>
      </c>
      <c r="D10" s="2"/>
      <c r="E10" s="2"/>
      <c r="F10" s="2"/>
      <c r="G10" s="2"/>
      <c r="H10" s="2"/>
      <c r="I10" s="4"/>
      <c r="J10" s="2"/>
      <c r="K10" s="2"/>
      <c r="L10" s="2"/>
      <c r="M10" s="2"/>
      <c r="N10" s="2"/>
      <c r="O10" s="2"/>
    </row>
    <row r="11" spans="2:15" ht="20.25" x14ac:dyDescent="0.3">
      <c r="B11" s="7"/>
      <c r="C11" s="367" t="s">
        <v>266</v>
      </c>
      <c r="D11" s="2"/>
      <c r="E11" s="2"/>
      <c r="F11" s="2"/>
      <c r="G11" s="2"/>
      <c r="H11" s="2"/>
      <c r="I11" s="4"/>
      <c r="J11" s="2"/>
      <c r="K11" s="2"/>
      <c r="L11" s="2"/>
      <c r="M11" s="2"/>
      <c r="N11" s="2"/>
      <c r="O11" s="2"/>
    </row>
    <row r="12" spans="2:15" ht="20.25" x14ac:dyDescent="0.3">
      <c r="B12" s="7"/>
      <c r="C12" s="367" t="s">
        <v>267</v>
      </c>
      <c r="D12" s="2"/>
      <c r="E12" s="2"/>
      <c r="F12" s="2"/>
      <c r="G12" s="2"/>
      <c r="H12" s="2"/>
      <c r="I12" s="4"/>
      <c r="J12" s="2"/>
      <c r="K12" s="2"/>
      <c r="L12" s="2"/>
      <c r="M12" s="2"/>
      <c r="N12" s="2"/>
      <c r="O12" s="2"/>
    </row>
    <row r="13" spans="2:15" ht="20.25" x14ac:dyDescent="0.3">
      <c r="B13" s="7"/>
      <c r="C13" s="367" t="s">
        <v>268</v>
      </c>
      <c r="D13" s="2"/>
      <c r="E13" s="2"/>
      <c r="F13" s="2"/>
      <c r="G13" s="2"/>
      <c r="H13" s="2"/>
      <c r="I13" s="4"/>
      <c r="J13" s="2"/>
      <c r="K13" s="2"/>
      <c r="L13" s="2"/>
      <c r="M13" s="2"/>
      <c r="N13" s="2"/>
      <c r="O13" s="2"/>
    </row>
    <row r="14" spans="2:15" ht="20.25" x14ac:dyDescent="0.3">
      <c r="B14" s="7"/>
      <c r="C14" s="367" t="s">
        <v>269</v>
      </c>
      <c r="D14" s="2"/>
      <c r="E14" s="2"/>
      <c r="F14" s="2"/>
      <c r="G14" s="2"/>
      <c r="H14" s="2"/>
      <c r="I14" s="4"/>
      <c r="J14" s="2"/>
      <c r="K14" s="2"/>
      <c r="L14" s="2"/>
      <c r="M14" s="2"/>
      <c r="N14" s="2"/>
      <c r="O14" s="2"/>
    </row>
    <row r="15" spans="2:15" ht="20.25" x14ac:dyDescent="0.3">
      <c r="B15" s="7"/>
      <c r="C15" s="367" t="s">
        <v>270</v>
      </c>
      <c r="D15" s="2"/>
      <c r="E15" s="2"/>
      <c r="F15" s="2"/>
      <c r="G15" s="2"/>
      <c r="H15" s="2"/>
      <c r="I15" s="4"/>
      <c r="J15" s="2"/>
      <c r="K15" s="2"/>
      <c r="L15" s="2"/>
      <c r="M15" s="2"/>
      <c r="N15" s="2"/>
      <c r="O15" s="2"/>
    </row>
    <row r="16" spans="2:15" ht="20.25" x14ac:dyDescent="0.3">
      <c r="B16" s="7"/>
      <c r="C16" s="367" t="s">
        <v>271</v>
      </c>
      <c r="D16" s="2"/>
      <c r="E16" s="2"/>
      <c r="F16" s="2"/>
      <c r="G16" s="2"/>
      <c r="H16" s="2"/>
      <c r="I16" s="4"/>
      <c r="J16" s="2"/>
      <c r="K16" s="2"/>
      <c r="L16" s="2"/>
      <c r="M16" s="2"/>
      <c r="N16" s="2"/>
      <c r="O16" s="2"/>
    </row>
    <row r="17" spans="2:15" ht="20.25" x14ac:dyDescent="0.3">
      <c r="B17" s="7"/>
      <c r="C17" s="367" t="s">
        <v>272</v>
      </c>
      <c r="D17" s="2"/>
      <c r="E17" s="2"/>
      <c r="F17" s="2"/>
      <c r="G17" s="2"/>
      <c r="H17" s="2"/>
      <c r="I17" s="4"/>
      <c r="J17" s="2"/>
      <c r="K17" s="2"/>
      <c r="L17" s="2"/>
      <c r="M17" s="2"/>
      <c r="N17" s="2"/>
      <c r="O17" s="2"/>
    </row>
    <row r="18" spans="2:15" ht="20.25" x14ac:dyDescent="0.3">
      <c r="B18" s="7"/>
      <c r="C18" s="367" t="s">
        <v>273</v>
      </c>
      <c r="D18" s="2"/>
      <c r="E18" s="2"/>
      <c r="F18" s="2"/>
      <c r="G18" s="2"/>
      <c r="H18" s="2"/>
      <c r="I18" s="4"/>
      <c r="J18" s="2"/>
      <c r="K18" s="2"/>
      <c r="L18" s="2"/>
      <c r="M18" s="2"/>
      <c r="N18" s="2"/>
      <c r="O18" s="2"/>
    </row>
    <row r="19" spans="2:15" ht="20.25" x14ac:dyDescent="0.3">
      <c r="B19" s="7"/>
      <c r="C19" s="367" t="s">
        <v>274</v>
      </c>
      <c r="D19" s="2"/>
      <c r="E19" s="2"/>
      <c r="F19" s="2"/>
      <c r="G19" s="2"/>
      <c r="H19" s="2"/>
      <c r="I19" s="4"/>
      <c r="J19" s="2"/>
      <c r="K19" s="2"/>
      <c r="L19" s="2"/>
      <c r="M19" s="2"/>
      <c r="N19" s="2"/>
      <c r="O19" s="2"/>
    </row>
    <row r="20" spans="2:15" ht="20.25" x14ac:dyDescent="0.3">
      <c r="B20" s="7"/>
      <c r="C20" s="367" t="s">
        <v>275</v>
      </c>
      <c r="D20" s="2"/>
      <c r="E20" s="2"/>
      <c r="F20" s="2"/>
      <c r="G20" s="2"/>
      <c r="H20" s="2"/>
      <c r="I20" s="4"/>
      <c r="J20" s="2"/>
      <c r="K20" s="2"/>
      <c r="L20" s="2"/>
      <c r="M20" s="2"/>
      <c r="N20" s="2"/>
      <c r="O20" s="2"/>
    </row>
    <row r="21" spans="2:15" ht="20.25" x14ac:dyDescent="0.3">
      <c r="B21" s="2"/>
      <c r="C21" s="367" t="s">
        <v>276</v>
      </c>
      <c r="D21" s="2"/>
      <c r="E21" s="2"/>
      <c r="F21" s="2"/>
      <c r="G21" s="2"/>
      <c r="H21" s="2"/>
      <c r="I21" s="4"/>
      <c r="J21" s="2"/>
      <c r="K21" s="2"/>
      <c r="L21" s="2"/>
      <c r="M21" s="2"/>
      <c r="N21" s="2"/>
      <c r="O21" s="2"/>
    </row>
    <row r="22" spans="2:15" x14ac:dyDescent="0.2">
      <c r="B22" s="2"/>
      <c r="C22" s="5"/>
      <c r="D22" s="2"/>
      <c r="E22" s="2"/>
      <c r="F22" s="2"/>
      <c r="G22" s="2"/>
      <c r="H22" s="2"/>
      <c r="I22" s="2"/>
      <c r="J22" s="2"/>
      <c r="K22" s="2"/>
      <c r="L22" s="2"/>
      <c r="M22" s="2"/>
      <c r="N22" s="2"/>
      <c r="O22" s="2"/>
    </row>
    <row r="23" spans="2:15" ht="14.25" x14ac:dyDescent="0.2">
      <c r="B23" s="8" t="s">
        <v>6</v>
      </c>
      <c r="C23" s="2"/>
      <c r="D23" s="2"/>
      <c r="E23" s="2"/>
      <c r="F23" s="2"/>
      <c r="G23" s="2"/>
      <c r="H23" s="2"/>
      <c r="I23" s="2"/>
      <c r="J23" s="2"/>
      <c r="K23" s="2"/>
      <c r="L23" s="2"/>
      <c r="M23" s="2"/>
      <c r="N23" s="2"/>
      <c r="O23" s="2"/>
    </row>
    <row r="24" spans="2:15" ht="12.75" customHeight="1" x14ac:dyDescent="0.2">
      <c r="B24" s="817" t="s">
        <v>415</v>
      </c>
      <c r="C24" s="817"/>
      <c r="D24" s="817"/>
      <c r="E24" s="817"/>
      <c r="F24" s="817"/>
      <c r="G24" s="817"/>
      <c r="H24" s="817"/>
      <c r="I24" s="817"/>
      <c r="J24" s="817"/>
      <c r="K24" s="817"/>
      <c r="L24" s="817"/>
      <c r="M24" s="817"/>
      <c r="N24" s="817"/>
      <c r="O24" s="817"/>
    </row>
    <row r="25" spans="2:15" x14ac:dyDescent="0.2">
      <c r="B25" s="817"/>
      <c r="C25" s="817"/>
      <c r="D25" s="817"/>
      <c r="E25" s="817"/>
      <c r="F25" s="817"/>
      <c r="G25" s="817"/>
      <c r="H25" s="817"/>
      <c r="I25" s="817"/>
      <c r="J25" s="817"/>
      <c r="K25" s="817"/>
      <c r="L25" s="817"/>
      <c r="M25" s="817"/>
      <c r="N25" s="817"/>
      <c r="O25" s="817"/>
    </row>
    <row r="26" spans="2:15" x14ac:dyDescent="0.2">
      <c r="B26" s="817"/>
      <c r="C26" s="817"/>
      <c r="D26" s="817"/>
      <c r="E26" s="817"/>
      <c r="F26" s="817"/>
      <c r="G26" s="817"/>
      <c r="H26" s="817"/>
      <c r="I26" s="817"/>
      <c r="J26" s="817"/>
      <c r="K26" s="817"/>
      <c r="L26" s="817"/>
      <c r="M26" s="817"/>
      <c r="N26" s="817"/>
      <c r="O26" s="817"/>
    </row>
    <row r="27" spans="2:15" x14ac:dyDescent="0.2">
      <c r="B27" s="817"/>
      <c r="C27" s="817"/>
      <c r="D27" s="817"/>
      <c r="E27" s="817"/>
      <c r="F27" s="817"/>
      <c r="G27" s="817"/>
      <c r="H27" s="817"/>
      <c r="I27" s="817"/>
      <c r="J27" s="817"/>
      <c r="K27" s="817"/>
      <c r="L27" s="817"/>
      <c r="M27" s="817"/>
      <c r="N27" s="817"/>
      <c r="O27" s="817"/>
    </row>
    <row r="28" spans="2:15" x14ac:dyDescent="0.2">
      <c r="B28" s="817"/>
      <c r="C28" s="817"/>
      <c r="D28" s="817"/>
      <c r="E28" s="817"/>
      <c r="F28" s="817"/>
      <c r="G28" s="817"/>
      <c r="H28" s="817"/>
      <c r="I28" s="817"/>
      <c r="J28" s="817"/>
      <c r="K28" s="817"/>
      <c r="L28" s="817"/>
      <c r="M28" s="817"/>
      <c r="N28" s="817"/>
      <c r="O28" s="817"/>
    </row>
    <row r="29" spans="2:15" x14ac:dyDescent="0.2">
      <c r="B29" s="817"/>
      <c r="C29" s="817"/>
      <c r="D29" s="817"/>
      <c r="E29" s="817"/>
      <c r="F29" s="817"/>
      <c r="G29" s="817"/>
      <c r="H29" s="817"/>
      <c r="I29" s="817"/>
      <c r="J29" s="817"/>
      <c r="K29" s="817"/>
      <c r="L29" s="817"/>
      <c r="M29" s="817"/>
      <c r="N29" s="817"/>
      <c r="O29" s="817"/>
    </row>
    <row r="30" spans="2:15" x14ac:dyDescent="0.2">
      <c r="B30" s="817"/>
      <c r="C30" s="817"/>
      <c r="D30" s="817"/>
      <c r="E30" s="817"/>
      <c r="F30" s="817"/>
      <c r="G30" s="817"/>
      <c r="H30" s="817"/>
      <c r="I30" s="817"/>
      <c r="J30" s="817"/>
      <c r="K30" s="817"/>
      <c r="L30" s="817"/>
      <c r="M30" s="817"/>
      <c r="N30" s="817"/>
      <c r="O30" s="817"/>
    </row>
    <row r="31" spans="2:15" x14ac:dyDescent="0.2">
      <c r="B31" s="817"/>
      <c r="C31" s="817"/>
      <c r="D31" s="817"/>
      <c r="E31" s="817"/>
      <c r="F31" s="817"/>
      <c r="G31" s="817"/>
      <c r="H31" s="817"/>
      <c r="I31" s="817"/>
      <c r="J31" s="817"/>
      <c r="K31" s="817"/>
      <c r="L31" s="817"/>
      <c r="M31" s="817"/>
      <c r="N31" s="817"/>
      <c r="O31" s="817"/>
    </row>
    <row r="32" spans="2:15" x14ac:dyDescent="0.2">
      <c r="B32" s="817"/>
      <c r="C32" s="817"/>
      <c r="D32" s="817"/>
      <c r="E32" s="817"/>
      <c r="F32" s="817"/>
      <c r="G32" s="817"/>
      <c r="H32" s="817"/>
      <c r="I32" s="817"/>
      <c r="J32" s="817"/>
      <c r="K32" s="817"/>
      <c r="L32" s="817"/>
      <c r="M32" s="817"/>
      <c r="N32" s="817"/>
      <c r="O32" s="817"/>
    </row>
    <row r="33" spans="2:15" x14ac:dyDescent="0.2">
      <c r="B33" s="817"/>
      <c r="C33" s="817"/>
      <c r="D33" s="817"/>
      <c r="E33" s="817"/>
      <c r="F33" s="817"/>
      <c r="G33" s="817"/>
      <c r="H33" s="817"/>
      <c r="I33" s="817"/>
      <c r="J33" s="817"/>
      <c r="K33" s="817"/>
      <c r="L33" s="817"/>
      <c r="M33" s="817"/>
      <c r="N33" s="817"/>
      <c r="O33" s="817"/>
    </row>
    <row r="34" spans="2:15" x14ac:dyDescent="0.2">
      <c r="B34" s="817"/>
      <c r="C34" s="817"/>
      <c r="D34" s="817"/>
      <c r="E34" s="817"/>
      <c r="F34" s="817"/>
      <c r="G34" s="817"/>
      <c r="H34" s="817"/>
      <c r="I34" s="817"/>
      <c r="J34" s="817"/>
      <c r="K34" s="817"/>
      <c r="L34" s="817"/>
      <c r="M34" s="817"/>
      <c r="N34" s="817"/>
      <c r="O34" s="817"/>
    </row>
    <row r="35" spans="2:15" x14ac:dyDescent="0.2">
      <c r="B35" s="817"/>
      <c r="C35" s="817"/>
      <c r="D35" s="817"/>
      <c r="E35" s="817"/>
      <c r="F35" s="817"/>
      <c r="G35" s="817"/>
      <c r="H35" s="817"/>
      <c r="I35" s="817"/>
      <c r="J35" s="817"/>
      <c r="K35" s="817"/>
      <c r="L35" s="817"/>
      <c r="M35" s="817"/>
      <c r="N35" s="817"/>
      <c r="O35" s="817"/>
    </row>
    <row r="36" spans="2:15" x14ac:dyDescent="0.2">
      <c r="B36" s="817"/>
      <c r="C36" s="817"/>
      <c r="D36" s="817"/>
      <c r="E36" s="817"/>
      <c r="F36" s="817"/>
      <c r="G36" s="817"/>
      <c r="H36" s="817"/>
      <c r="I36" s="817"/>
      <c r="J36" s="817"/>
      <c r="K36" s="817"/>
      <c r="L36" s="817"/>
      <c r="M36" s="817"/>
      <c r="N36" s="817"/>
      <c r="O36" s="817"/>
    </row>
    <row r="37" spans="2:15" x14ac:dyDescent="0.2">
      <c r="B37" s="817"/>
      <c r="C37" s="817"/>
      <c r="D37" s="817"/>
      <c r="E37" s="817"/>
      <c r="F37" s="817"/>
      <c r="G37" s="817"/>
      <c r="H37" s="817"/>
      <c r="I37" s="817"/>
      <c r="J37" s="817"/>
      <c r="K37" s="817"/>
      <c r="L37" s="817"/>
      <c r="M37" s="817"/>
      <c r="N37" s="817"/>
      <c r="O37" s="817"/>
    </row>
    <row r="38" spans="2:15" x14ac:dyDescent="0.2">
      <c r="B38" s="817"/>
      <c r="C38" s="817"/>
      <c r="D38" s="817"/>
      <c r="E38" s="817"/>
      <c r="F38" s="817"/>
      <c r="G38" s="817"/>
      <c r="H38" s="817"/>
      <c r="I38" s="817"/>
      <c r="J38" s="817"/>
      <c r="K38" s="817"/>
      <c r="L38" s="817"/>
      <c r="M38" s="817"/>
      <c r="N38" s="817"/>
      <c r="O38" s="817"/>
    </row>
    <row r="39" spans="2:15" x14ac:dyDescent="0.2">
      <c r="B39" s="2"/>
      <c r="C39" s="2"/>
      <c r="D39" s="2"/>
      <c r="E39" s="2"/>
      <c r="F39" s="2"/>
      <c r="G39" s="2"/>
      <c r="H39" s="2"/>
      <c r="I39" s="2"/>
      <c r="J39" s="2"/>
      <c r="K39" s="2"/>
      <c r="L39" s="2"/>
      <c r="M39" s="2"/>
      <c r="N39" s="2"/>
      <c r="O39" s="2"/>
    </row>
    <row r="40" spans="2:15" x14ac:dyDescent="0.2">
      <c r="B40" s="2"/>
      <c r="C40" s="2"/>
      <c r="D40" s="2"/>
      <c r="E40" s="2"/>
      <c r="F40" s="2"/>
      <c r="G40" s="2"/>
      <c r="H40" s="2"/>
      <c r="I40" s="2"/>
      <c r="J40" s="2"/>
      <c r="K40" s="2"/>
      <c r="L40" s="2"/>
      <c r="M40" s="2"/>
      <c r="N40" s="2"/>
      <c r="O40" s="2"/>
    </row>
  </sheetData>
  <mergeCells count="1">
    <mergeCell ref="B24:O38"/>
  </mergeCells>
  <hyperlinks>
    <hyperlink ref="C6" location="'01 Quarterly revenue'!A1" display="1 Quarterly revenue analysis"/>
    <hyperlink ref="C7" location="'02 Regional results'!A1" display="2 Regional results"/>
    <hyperlink ref="C8" location="'03 Adjusted income statement'!A1" display="3 Adjusted income statement"/>
    <hyperlink ref="C9" location="'04 Cash flow'!A1" display="4 Cash flow"/>
    <hyperlink ref="C11" location="'06 Mobile customers'!A1" display="6 Mobile customers"/>
    <hyperlink ref="C12" location="'07 Churn'!A1" display="7 Churn"/>
    <hyperlink ref="C13" location="'08 Voice usage'!A1" display="8 Voice usage"/>
    <hyperlink ref="C16" location="'11 ARPU'!A1" display="11 ARPU"/>
    <hyperlink ref="C10" location="'05 Half-year regional analysis'!A1" display="5 Half-year regional analysis"/>
    <hyperlink ref="C21" location="'FY 14 Financial statements'!A1" display="16 Financial statements"/>
    <hyperlink ref="C19" location="'14 Average forex rates'!A1" display="14 Average foreign exchange rates"/>
    <hyperlink ref="C20" location="'15 Definitions'!A1" display="15 Definition of terms"/>
    <hyperlink ref="C17" location="'12 Smartphones'!A1" display="12 Smartphones"/>
    <hyperlink ref="C18" location="'13 Fixed broadband customers'!A1" display="13 Fixed broadband customers"/>
    <hyperlink ref="C14:C15" location="'9 Voice usage'!A1" display="9 Usage"/>
    <hyperlink ref="C14" location="'09 Messaging usage'!A1" display="9 Messaging usage"/>
    <hyperlink ref="C15" location="'10 Data usage'!A1" display="10 Data usage"/>
  </hyperlinks>
  <pageMargins left="0.75" right="0.75" top="1" bottom="1" header="0.5" footer="0.5"/>
  <pageSetup scale="65" orientation="portrait" horizontalDpi="300" verticalDpi="300" r:id="rId1"/>
  <headerFooter alignWithMargins="0"/>
  <colBreaks count="1" manualBreakCount="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64"/>
  <sheetViews>
    <sheetView showGridLines="0" zoomScaleNormal="100" workbookViewId="0"/>
  </sheetViews>
  <sheetFormatPr defaultRowHeight="12.75" x14ac:dyDescent="0.2"/>
  <cols>
    <col min="1" max="1" width="5.42578125" style="65" customWidth="1"/>
    <col min="2" max="2" width="4.28515625" style="45" customWidth="1"/>
    <col min="3" max="3" width="35.42578125" style="65" customWidth="1"/>
    <col min="4" max="4" width="5.7109375" style="283" customWidth="1"/>
    <col min="5" max="6" width="11.140625" style="242" customWidth="1"/>
    <col min="7" max="8" width="10.28515625" style="242" customWidth="1"/>
    <col min="9" max="11" width="11.140625" style="242" customWidth="1"/>
    <col min="12" max="12" width="11.140625" style="243" customWidth="1"/>
    <col min="13" max="13" width="11.140625" style="242" customWidth="1"/>
    <col min="14" max="14" width="4.140625" style="65" customWidth="1"/>
    <col min="15" max="22" width="10.28515625" style="65" customWidth="1"/>
    <col min="23" max="23" width="4.140625" style="65" customWidth="1"/>
    <col min="24" max="24" width="9.85546875" style="242" customWidth="1"/>
    <col min="25" max="27" width="10.28515625" style="242" customWidth="1"/>
    <col min="28" max="28" width="9.85546875" style="242" customWidth="1"/>
    <col min="29" max="31" width="10.28515625" style="242" customWidth="1"/>
    <col min="32" max="33" width="4.140625" style="65" customWidth="1"/>
    <col min="34" max="73" width="9.140625" style="65" customWidth="1"/>
    <col min="74" max="256" width="11.42578125" style="65" customWidth="1"/>
    <col min="257" max="16384" width="9.140625" style="65"/>
  </cols>
  <sheetData>
    <row r="1" spans="1:13" s="10" customFormat="1" ht="13.5" customHeight="1" x14ac:dyDescent="0.2">
      <c r="A1" s="688" t="s">
        <v>414</v>
      </c>
      <c r="B1" s="13"/>
      <c r="D1" s="139"/>
      <c r="E1" s="858" t="s">
        <v>175</v>
      </c>
      <c r="F1" s="858"/>
      <c r="G1" s="858"/>
      <c r="H1" s="858"/>
      <c r="I1" s="858"/>
      <c r="J1" s="858"/>
      <c r="K1" s="858"/>
      <c r="L1" s="858"/>
      <c r="M1" s="262"/>
    </row>
    <row r="2" spans="1:13" s="192" customFormat="1" ht="12.75" customHeight="1" x14ac:dyDescent="0.2">
      <c r="B2" s="263"/>
      <c r="D2" s="283"/>
      <c r="E2" s="246" t="s">
        <v>8</v>
      </c>
      <c r="F2" s="246" t="s">
        <v>9</v>
      </c>
      <c r="G2" s="246" t="s">
        <v>10</v>
      </c>
      <c r="H2" s="246" t="s">
        <v>11</v>
      </c>
      <c r="I2" s="201" t="s">
        <v>12</v>
      </c>
      <c r="J2" s="247" t="s">
        <v>13</v>
      </c>
      <c r="K2" s="247" t="s">
        <v>296</v>
      </c>
      <c r="L2" s="385" t="s">
        <v>402</v>
      </c>
      <c r="M2" s="264"/>
    </row>
    <row r="3" spans="1:13" ht="14.25" customHeight="1" x14ac:dyDescent="0.2">
      <c r="B3" s="21" t="s">
        <v>292</v>
      </c>
      <c r="E3" s="265"/>
      <c r="F3" s="265"/>
      <c r="G3" s="265"/>
      <c r="H3" s="265"/>
      <c r="I3" s="266"/>
      <c r="J3" s="267"/>
      <c r="K3" s="267"/>
      <c r="L3" s="386"/>
      <c r="M3" s="269"/>
    </row>
    <row r="4" spans="1:13" ht="12.75" customHeight="1" x14ac:dyDescent="0.2">
      <c r="B4" s="21"/>
      <c r="C4" s="65" t="s">
        <v>29</v>
      </c>
      <c r="E4" s="284">
        <v>5339</v>
      </c>
      <c r="F4" s="281">
        <v>5114</v>
      </c>
      <c r="G4" s="284">
        <v>5012</v>
      </c>
      <c r="H4" s="284">
        <v>4350</v>
      </c>
      <c r="I4" s="281">
        <v>3918.9380290099998</v>
      </c>
      <c r="J4" s="228">
        <v>3326</v>
      </c>
      <c r="K4" s="228">
        <v>2934</v>
      </c>
      <c r="L4" s="383">
        <v>2466</v>
      </c>
      <c r="M4" s="269"/>
    </row>
    <row r="5" spans="1:13" s="66" customFormat="1" ht="12.75" customHeight="1" x14ac:dyDescent="0.2">
      <c r="C5" s="69" t="s">
        <v>281</v>
      </c>
      <c r="D5" s="291"/>
      <c r="E5" s="292">
        <v>10487</v>
      </c>
      <c r="F5" s="292">
        <v>10097</v>
      </c>
      <c r="G5" s="289">
        <v>10341</v>
      </c>
      <c r="H5" s="289">
        <v>9540</v>
      </c>
      <c r="I5" s="284">
        <v>8650</v>
      </c>
      <c r="J5" s="226">
        <v>7131</v>
      </c>
      <c r="K5" s="226">
        <v>6276</v>
      </c>
      <c r="L5" s="759">
        <v>5794</v>
      </c>
      <c r="M5" s="262"/>
    </row>
    <row r="6" spans="1:13" ht="12.75" customHeight="1" x14ac:dyDescent="0.2">
      <c r="B6" s="21"/>
      <c r="C6" s="65" t="s">
        <v>31</v>
      </c>
      <c r="E6" s="284">
        <v>11799</v>
      </c>
      <c r="F6" s="281">
        <v>11417</v>
      </c>
      <c r="G6" s="284">
        <v>11707</v>
      </c>
      <c r="H6" s="284">
        <v>11013</v>
      </c>
      <c r="I6" s="281">
        <v>10382</v>
      </c>
      <c r="J6" s="228">
        <v>10009</v>
      </c>
      <c r="K6" s="228">
        <v>10044</v>
      </c>
      <c r="L6" s="383">
        <v>9544</v>
      </c>
      <c r="M6" s="269"/>
    </row>
    <row r="7" spans="1:13" s="66" customFormat="1" ht="12.75" customHeight="1" x14ac:dyDescent="0.2">
      <c r="B7" s="79"/>
      <c r="C7" s="205" t="s">
        <v>36</v>
      </c>
      <c r="D7" s="293"/>
      <c r="E7" s="284">
        <v>791</v>
      </c>
      <c r="F7" s="281">
        <v>701</v>
      </c>
      <c r="G7" s="284">
        <v>656</v>
      </c>
      <c r="H7" s="284">
        <v>534</v>
      </c>
      <c r="I7" s="281">
        <v>519</v>
      </c>
      <c r="J7" s="228">
        <v>498</v>
      </c>
      <c r="K7" s="228">
        <v>508</v>
      </c>
      <c r="L7" s="383">
        <v>414</v>
      </c>
      <c r="M7" s="269"/>
    </row>
    <row r="8" spans="1:13" ht="12.75" customHeight="1" x14ac:dyDescent="0.2">
      <c r="B8" s="21"/>
      <c r="C8" s="65" t="s">
        <v>147</v>
      </c>
      <c r="E8" s="284">
        <v>1070</v>
      </c>
      <c r="F8" s="281">
        <v>931</v>
      </c>
      <c r="G8" s="284">
        <v>799</v>
      </c>
      <c r="H8" s="284">
        <v>684</v>
      </c>
      <c r="I8" s="281">
        <v>635</v>
      </c>
      <c r="J8" s="228">
        <v>594</v>
      </c>
      <c r="K8" s="228">
        <v>516</v>
      </c>
      <c r="L8" s="383">
        <v>460</v>
      </c>
      <c r="M8" s="269"/>
    </row>
    <row r="9" spans="1:13" s="66" customFormat="1" ht="12.75" customHeight="1" x14ac:dyDescent="0.2">
      <c r="B9" s="79"/>
      <c r="C9" s="66" t="s">
        <v>153</v>
      </c>
      <c r="D9" s="288"/>
      <c r="E9" s="284">
        <v>4710</v>
      </c>
      <c r="F9" s="281">
        <v>4789</v>
      </c>
      <c r="G9" s="284">
        <v>4692</v>
      </c>
      <c r="H9" s="284">
        <v>4486</v>
      </c>
      <c r="I9" s="281">
        <v>4499</v>
      </c>
      <c r="J9" s="228">
        <v>4497</v>
      </c>
      <c r="K9" s="228">
        <v>4282</v>
      </c>
      <c r="L9" s="383">
        <v>3976</v>
      </c>
      <c r="M9" s="269"/>
    </row>
    <row r="10" spans="1:13" ht="12.75" customHeight="1" x14ac:dyDescent="0.2">
      <c r="B10" s="21"/>
      <c r="C10" s="65" t="s">
        <v>151</v>
      </c>
      <c r="E10" s="284">
        <v>679</v>
      </c>
      <c r="F10" s="281">
        <v>655</v>
      </c>
      <c r="G10" s="284">
        <v>880</v>
      </c>
      <c r="H10" s="284">
        <v>857</v>
      </c>
      <c r="I10" s="281">
        <v>853</v>
      </c>
      <c r="J10" s="228">
        <v>851</v>
      </c>
      <c r="K10" s="228">
        <v>1147</v>
      </c>
      <c r="L10" s="383">
        <v>1163</v>
      </c>
      <c r="M10" s="269"/>
    </row>
    <row r="11" spans="1:13" s="66" customFormat="1" ht="12.75" customHeight="1" x14ac:dyDescent="0.2">
      <c r="B11" s="79"/>
      <c r="C11" s="66" t="s">
        <v>152</v>
      </c>
      <c r="D11" s="288"/>
      <c r="E11" s="284">
        <v>349</v>
      </c>
      <c r="F11" s="281">
        <v>348</v>
      </c>
      <c r="G11" s="284">
        <v>334</v>
      </c>
      <c r="H11" s="284">
        <v>329</v>
      </c>
      <c r="I11" s="281">
        <v>319</v>
      </c>
      <c r="J11" s="228">
        <v>329</v>
      </c>
      <c r="K11" s="228">
        <v>319</v>
      </c>
      <c r="L11" s="383">
        <v>300</v>
      </c>
      <c r="M11" s="269"/>
    </row>
    <row r="12" spans="1:13" ht="12.75" customHeight="1" x14ac:dyDescent="0.2">
      <c r="B12" s="21"/>
      <c r="C12" s="65" t="s">
        <v>62</v>
      </c>
      <c r="E12" s="284">
        <v>2961</v>
      </c>
      <c r="F12" s="284">
        <v>2924</v>
      </c>
      <c r="G12" s="284">
        <v>3015</v>
      </c>
      <c r="H12" s="284">
        <v>2908</v>
      </c>
      <c r="I12" s="284">
        <v>2792</v>
      </c>
      <c r="J12" s="284">
        <v>2754</v>
      </c>
      <c r="K12" s="284">
        <v>2824</v>
      </c>
      <c r="L12" s="759">
        <v>2644</v>
      </c>
      <c r="M12" s="269"/>
    </row>
    <row r="13" spans="1:13" s="45" customFormat="1" ht="12.75" customHeight="1" x14ac:dyDescent="0.2">
      <c r="B13" s="21"/>
      <c r="C13" s="45" t="s">
        <v>22</v>
      </c>
      <c r="D13" s="285"/>
      <c r="E13" s="286">
        <v>38185</v>
      </c>
      <c r="F13" s="286">
        <v>36976</v>
      </c>
      <c r="G13" s="286">
        <v>37436</v>
      </c>
      <c r="H13" s="286">
        <v>34701</v>
      </c>
      <c r="I13" s="286">
        <v>32567.938029010002</v>
      </c>
      <c r="J13" s="286">
        <v>29989</v>
      </c>
      <c r="K13" s="286">
        <v>28850</v>
      </c>
      <c r="L13" s="384">
        <f t="shared" ref="L13" si="0">SUM(L4:L12)</f>
        <v>26761</v>
      </c>
      <c r="M13" s="274"/>
    </row>
    <row r="14" spans="1:13" ht="3.95" customHeight="1" x14ac:dyDescent="0.2">
      <c r="B14" s="21"/>
      <c r="E14" s="290"/>
      <c r="F14" s="290"/>
      <c r="G14" s="289"/>
      <c r="H14" s="289"/>
      <c r="I14" s="270"/>
      <c r="J14" s="266"/>
      <c r="K14" s="266"/>
      <c r="L14" s="386"/>
      <c r="M14" s="269"/>
    </row>
    <row r="15" spans="1:13" ht="12.75" customHeight="1" x14ac:dyDescent="0.2">
      <c r="B15" s="45" t="s">
        <v>16</v>
      </c>
      <c r="E15" s="290"/>
      <c r="F15" s="290"/>
      <c r="G15" s="289"/>
      <c r="H15" s="289"/>
      <c r="I15" s="270"/>
      <c r="J15" s="266"/>
      <c r="K15" s="266"/>
      <c r="L15" s="386"/>
      <c r="M15" s="269"/>
    </row>
    <row r="16" spans="1:13" ht="12.75" customHeight="1" x14ac:dyDescent="0.2">
      <c r="B16" s="21"/>
      <c r="C16" s="66" t="s">
        <v>132</v>
      </c>
      <c r="D16" s="288"/>
      <c r="E16" s="284">
        <v>24616</v>
      </c>
      <c r="F16" s="281">
        <v>22891</v>
      </c>
      <c r="G16" s="284">
        <v>29970</v>
      </c>
      <c r="H16" s="284">
        <v>25000</v>
      </c>
      <c r="I16" s="281">
        <v>23420</v>
      </c>
      <c r="J16" s="228">
        <v>24504</v>
      </c>
      <c r="K16" s="228">
        <v>24966</v>
      </c>
      <c r="L16" s="383">
        <v>23899</v>
      </c>
      <c r="M16" s="269"/>
    </row>
    <row r="17" spans="2:13" ht="12.75" customHeight="1" x14ac:dyDescent="0.2">
      <c r="B17" s="21"/>
      <c r="C17" s="66" t="s">
        <v>448</v>
      </c>
      <c r="D17" s="288"/>
      <c r="E17" s="284">
        <v>1631</v>
      </c>
      <c r="F17" s="281">
        <v>3618</v>
      </c>
      <c r="G17" s="284">
        <v>3376</v>
      </c>
      <c r="H17" s="284">
        <v>3291</v>
      </c>
      <c r="I17" s="281">
        <v>5732.968597</v>
      </c>
      <c r="J17" s="228">
        <v>6132</v>
      </c>
      <c r="K17" s="228">
        <v>6261</v>
      </c>
      <c r="L17" s="383">
        <v>6775</v>
      </c>
      <c r="M17" s="269"/>
    </row>
    <row r="18" spans="2:13" ht="12.75" customHeight="1" x14ac:dyDescent="0.2">
      <c r="B18" s="21"/>
      <c r="C18" s="65" t="s">
        <v>148</v>
      </c>
      <c r="E18" s="284">
        <v>16219</v>
      </c>
      <c r="F18" s="281">
        <v>18375</v>
      </c>
      <c r="G18" s="284">
        <v>19282</v>
      </c>
      <c r="H18" s="284">
        <v>18779</v>
      </c>
      <c r="I18" s="281">
        <v>18522</v>
      </c>
      <c r="J18" s="228">
        <v>19180</v>
      </c>
      <c r="K18" s="228">
        <v>18900</v>
      </c>
      <c r="L18" s="383">
        <v>17320</v>
      </c>
      <c r="M18" s="269"/>
    </row>
    <row r="19" spans="2:13" ht="12.75" customHeight="1" x14ac:dyDescent="0.2">
      <c r="B19" s="21"/>
      <c r="C19" s="66" t="s">
        <v>157</v>
      </c>
      <c r="D19" s="288"/>
      <c r="E19" s="284">
        <v>1413</v>
      </c>
      <c r="F19" s="281">
        <v>1005</v>
      </c>
      <c r="G19" s="284">
        <v>1058</v>
      </c>
      <c r="H19" s="284">
        <v>961</v>
      </c>
      <c r="I19" s="281">
        <v>886</v>
      </c>
      <c r="J19" s="228">
        <v>560</v>
      </c>
      <c r="K19" s="228">
        <v>706</v>
      </c>
      <c r="L19" s="383">
        <v>887</v>
      </c>
      <c r="M19" s="269"/>
    </row>
    <row r="20" spans="2:13" ht="12.75" customHeight="1" x14ac:dyDescent="0.2">
      <c r="B20" s="21"/>
      <c r="C20" s="66" t="s">
        <v>298</v>
      </c>
      <c r="D20" s="288"/>
      <c r="E20" s="226">
        <v>4279</v>
      </c>
      <c r="F20" s="226">
        <v>4380</v>
      </c>
      <c r="G20" s="226">
        <v>4426</v>
      </c>
      <c r="H20" s="226">
        <v>4073</v>
      </c>
      <c r="I20" s="226">
        <v>3958</v>
      </c>
      <c r="J20" s="228">
        <v>3918</v>
      </c>
      <c r="K20" s="228">
        <v>3954</v>
      </c>
      <c r="L20" s="383">
        <v>3890</v>
      </c>
      <c r="M20" s="269"/>
    </row>
    <row r="21" spans="2:13" s="45" customFormat="1" ht="12.75" customHeight="1" x14ac:dyDescent="0.2">
      <c r="B21" s="21"/>
      <c r="C21" s="45" t="s">
        <v>22</v>
      </c>
      <c r="D21" s="285"/>
      <c r="E21" s="271">
        <v>48158</v>
      </c>
      <c r="F21" s="271">
        <v>50269</v>
      </c>
      <c r="G21" s="271">
        <v>58112</v>
      </c>
      <c r="H21" s="271">
        <v>52104</v>
      </c>
      <c r="I21" s="271">
        <v>52518.968596999999</v>
      </c>
      <c r="J21" s="271">
        <v>54294</v>
      </c>
      <c r="K21" s="271">
        <v>54787</v>
      </c>
      <c r="L21" s="384">
        <f t="shared" ref="L21" si="1">SUM(L16:L20)</f>
        <v>52771</v>
      </c>
      <c r="M21" s="274"/>
    </row>
    <row r="22" spans="2:13" ht="3.95" customHeight="1" x14ac:dyDescent="0.2">
      <c r="B22" s="21"/>
      <c r="E22" s="290"/>
      <c r="F22" s="290"/>
      <c r="G22" s="289"/>
      <c r="H22" s="289"/>
      <c r="I22" s="270"/>
      <c r="J22" s="266"/>
      <c r="K22" s="266"/>
      <c r="L22" s="386"/>
      <c r="M22" s="269"/>
    </row>
    <row r="23" spans="2:13" ht="12" customHeight="1" x14ac:dyDescent="0.2">
      <c r="B23" s="21" t="s">
        <v>141</v>
      </c>
      <c r="E23" s="281">
        <v>14</v>
      </c>
      <c r="F23" s="284">
        <v>12</v>
      </c>
      <c r="G23" s="284">
        <v>14</v>
      </c>
      <c r="H23" s="284">
        <v>15</v>
      </c>
      <c r="I23" s="281">
        <v>20</v>
      </c>
      <c r="J23" s="208">
        <v>25</v>
      </c>
      <c r="K23" s="208">
        <v>18</v>
      </c>
      <c r="L23" s="383">
        <v>19</v>
      </c>
      <c r="M23" s="269"/>
    </row>
    <row r="24" spans="2:13" ht="3.95" customHeight="1" x14ac:dyDescent="0.2">
      <c r="B24" s="21"/>
      <c r="E24" s="290"/>
      <c r="F24" s="290"/>
      <c r="G24" s="289"/>
      <c r="H24" s="289"/>
      <c r="I24" s="270"/>
      <c r="J24" s="266"/>
      <c r="K24" s="266"/>
      <c r="L24" s="386"/>
      <c r="M24" s="269"/>
    </row>
    <row r="25" spans="2:13" s="45" customFormat="1" ht="12.75" customHeight="1" thickBot="1" x14ac:dyDescent="0.25">
      <c r="B25" s="45" t="s">
        <v>137</v>
      </c>
      <c r="D25" s="285"/>
      <c r="E25" s="294">
        <v>86357</v>
      </c>
      <c r="F25" s="294">
        <v>87257</v>
      </c>
      <c r="G25" s="294">
        <v>95562</v>
      </c>
      <c r="H25" s="294">
        <v>86820</v>
      </c>
      <c r="I25" s="294">
        <v>85106.906626009993</v>
      </c>
      <c r="J25" s="294">
        <v>84308</v>
      </c>
      <c r="K25" s="294">
        <v>83655</v>
      </c>
      <c r="L25" s="389">
        <f t="shared" ref="L25" si="2">+L23+L21+L13</f>
        <v>79551</v>
      </c>
      <c r="M25" s="274"/>
    </row>
    <row r="26" spans="2:13" s="98" customFormat="1" ht="12.75" customHeight="1" thickTop="1" x14ac:dyDescent="0.2">
      <c r="D26" s="295"/>
      <c r="E26" s="280"/>
      <c r="F26" s="280"/>
      <c r="G26" s="280"/>
      <c r="H26" s="280"/>
      <c r="I26" s="280"/>
      <c r="J26" s="280"/>
      <c r="K26" s="280"/>
      <c r="L26" s="280"/>
      <c r="M26" s="274"/>
    </row>
    <row r="27" spans="2:13" ht="12.75" customHeight="1" x14ac:dyDescent="0.2">
      <c r="B27" s="21"/>
      <c r="E27" s="238"/>
      <c r="F27" s="238"/>
      <c r="G27" s="238"/>
      <c r="H27" s="238"/>
      <c r="I27" s="238"/>
      <c r="J27" s="238"/>
      <c r="K27" s="238"/>
      <c r="L27" s="238"/>
      <c r="M27" s="269"/>
    </row>
    <row r="28" spans="2:13" s="45" customFormat="1" ht="12.75" customHeight="1" x14ac:dyDescent="0.2">
      <c r="B28" s="10" t="s">
        <v>40</v>
      </c>
      <c r="D28" s="285"/>
      <c r="E28" s="233"/>
      <c r="F28" s="233"/>
      <c r="G28" s="65"/>
      <c r="H28" s="233"/>
      <c r="I28" s="235"/>
      <c r="J28" s="235"/>
      <c r="K28" s="235"/>
      <c r="L28" s="236"/>
      <c r="M28" s="236"/>
    </row>
    <row r="29" spans="2:13" s="45" customFormat="1" ht="25.5" customHeight="1" x14ac:dyDescent="0.2">
      <c r="B29" s="165" t="s">
        <v>41</v>
      </c>
      <c r="C29" s="855" t="s">
        <v>445</v>
      </c>
      <c r="D29" s="855"/>
      <c r="E29" s="855"/>
      <c r="F29" s="855"/>
      <c r="G29" s="855"/>
      <c r="H29" s="855"/>
      <c r="I29" s="855"/>
      <c r="J29" s="855"/>
      <c r="K29" s="855"/>
      <c r="L29" s="855"/>
      <c r="M29" s="236"/>
    </row>
    <row r="30" spans="2:13" s="45" customFormat="1" x14ac:dyDescent="0.2">
      <c r="B30" s="165" t="s">
        <v>43</v>
      </c>
      <c r="C30" s="855" t="s">
        <v>176</v>
      </c>
      <c r="D30" s="855"/>
      <c r="E30" s="855"/>
      <c r="F30" s="855"/>
      <c r="G30" s="855"/>
      <c r="H30" s="855"/>
      <c r="I30" s="855"/>
      <c r="J30" s="855"/>
      <c r="K30" s="855"/>
      <c r="L30" s="855"/>
      <c r="M30" s="236"/>
    </row>
    <row r="31" spans="2:13" s="45" customFormat="1" x14ac:dyDescent="0.2">
      <c r="B31" s="165" t="s">
        <v>124</v>
      </c>
      <c r="C31" s="240" t="s">
        <v>440</v>
      </c>
      <c r="D31" s="783"/>
      <c r="E31" s="783"/>
      <c r="F31" s="783"/>
      <c r="G31" s="783"/>
      <c r="H31" s="783"/>
      <c r="I31" s="783"/>
      <c r="J31" s="783"/>
      <c r="K31" s="783"/>
      <c r="L31" s="783"/>
      <c r="M31" s="236"/>
    </row>
    <row r="32" spans="2:13" s="45" customFormat="1" ht="12.75" customHeight="1" x14ac:dyDescent="0.2">
      <c r="B32" s="165" t="s">
        <v>139</v>
      </c>
      <c r="C32" s="766" t="s">
        <v>164</v>
      </c>
      <c r="D32" s="283"/>
      <c r="E32" s="233"/>
      <c r="F32" s="233"/>
      <c r="G32" s="65"/>
      <c r="H32" s="233"/>
      <c r="I32" s="235"/>
      <c r="J32" s="235"/>
      <c r="K32" s="235"/>
      <c r="L32" s="236"/>
      <c r="M32" s="236"/>
    </row>
    <row r="33" spans="2:13" ht="12.75" customHeight="1" x14ac:dyDescent="0.2">
      <c r="B33" s="165" t="s">
        <v>140</v>
      </c>
      <c r="C33" s="766" t="s">
        <v>177</v>
      </c>
      <c r="D33" s="282"/>
      <c r="E33" s="282"/>
      <c r="F33" s="282"/>
      <c r="G33" s="282"/>
      <c r="H33" s="282"/>
      <c r="I33" s="282"/>
      <c r="J33" s="235"/>
      <c r="K33" s="282"/>
      <c r="L33" s="282"/>
      <c r="M33" s="378"/>
    </row>
    <row r="34" spans="2:13" ht="12.75" customHeight="1" x14ac:dyDescent="0.2">
      <c r="B34" s="165"/>
      <c r="C34" s="282"/>
      <c r="D34" s="282"/>
      <c r="E34" s="241"/>
      <c r="F34" s="241"/>
      <c r="G34" s="241"/>
      <c r="H34" s="241"/>
      <c r="I34" s="241"/>
      <c r="J34" s="241"/>
      <c r="K34" s="241"/>
      <c r="L34" s="241"/>
      <c r="M34" s="377"/>
    </row>
    <row r="39" spans="2:13" ht="12" customHeight="1" x14ac:dyDescent="0.2"/>
    <row r="40" spans="2:13" ht="12" customHeight="1" x14ac:dyDescent="0.2"/>
    <row r="41" spans="2:13" ht="12" customHeight="1" x14ac:dyDescent="0.2"/>
    <row r="42" spans="2:13" ht="12" customHeight="1" x14ac:dyDescent="0.2"/>
    <row r="43" spans="2:13" ht="12" customHeight="1" x14ac:dyDescent="0.2"/>
    <row r="44" spans="2:13" ht="12" customHeight="1" x14ac:dyDescent="0.2"/>
    <row r="45" spans="2:13" ht="12" customHeight="1" x14ac:dyDescent="0.2"/>
    <row r="46" spans="2:13" ht="12" customHeight="1" x14ac:dyDescent="0.2"/>
    <row r="47" spans="2:13" ht="12" customHeight="1" x14ac:dyDescent="0.2"/>
    <row r="48" spans="2:13"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sheetData>
  <sheetProtection formatCells="0" formatColumns="0" formatRows="0" sort="0" autoFilter="0" pivotTables="0"/>
  <mergeCells count="3">
    <mergeCell ref="E1:L1"/>
    <mergeCell ref="C29:L29"/>
    <mergeCell ref="C30:L30"/>
  </mergeCells>
  <conditionalFormatting sqref="W48:W49 W119:W120 L119:L120 E119:E120 F120:I121 K120:K121 J125:J126 E48:I49 K48:L49 J53:J54">
    <cfRule type="cellIs" dxfId="6"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1" orientation="portrait" horizontalDpi="300" verticalDpi="300" r:id="rId1"/>
  <headerFooter alignWithMargins="0">
    <oddHeader>&amp;L&amp;"Vodafone Rg,Regular"Vodafone Group Plc&amp;C&amp;"Vodafone Rg,Regular"09 Messaging usage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44"/>
  <sheetViews>
    <sheetView showGridLines="0" zoomScale="85" zoomScaleNormal="85" workbookViewId="0"/>
  </sheetViews>
  <sheetFormatPr defaultRowHeight="12.75" x14ac:dyDescent="0.2"/>
  <cols>
    <col min="1" max="1" width="5.42578125" style="65" customWidth="1"/>
    <col min="2" max="2" width="4.28515625" style="45" customWidth="1"/>
    <col min="3" max="3" width="27.7109375" style="65" customWidth="1"/>
    <col min="4" max="4" width="13" style="65" customWidth="1"/>
    <col min="5" max="6" width="11.140625" style="242" customWidth="1"/>
    <col min="7" max="8" width="10.28515625" style="242" customWidth="1"/>
    <col min="9" max="11" width="11.140625" style="242" customWidth="1"/>
    <col min="12" max="12" width="11.140625" style="243" customWidth="1"/>
    <col min="13" max="13" width="11.140625" style="242" customWidth="1"/>
    <col min="14" max="14" width="4.140625" style="65" customWidth="1"/>
    <col min="15" max="22" width="10.28515625" style="65" customWidth="1"/>
    <col min="23" max="23" width="4.140625" style="65" customWidth="1"/>
    <col min="24" max="24" width="9.85546875" style="242" customWidth="1"/>
    <col min="25" max="27" width="10.28515625" style="242" customWidth="1"/>
    <col min="28" max="28" width="9.85546875" style="242" customWidth="1"/>
    <col min="29" max="31" width="10.28515625" style="242" customWidth="1"/>
    <col min="32" max="33" width="4.140625" style="65" customWidth="1"/>
    <col min="34" max="61" width="9.140625" style="65" customWidth="1"/>
    <col min="62" max="256" width="11.42578125" style="65" customWidth="1"/>
    <col min="257" max="16384" width="9.140625" style="65"/>
  </cols>
  <sheetData>
    <row r="1" spans="1:15" s="10" customFormat="1" ht="14.25" customHeight="1" x14ac:dyDescent="0.2">
      <c r="A1" s="688" t="s">
        <v>414</v>
      </c>
      <c r="B1" s="13"/>
      <c r="E1" s="858" t="s">
        <v>290</v>
      </c>
      <c r="F1" s="858"/>
      <c r="G1" s="858"/>
      <c r="H1" s="858"/>
      <c r="I1" s="858"/>
      <c r="J1" s="858"/>
      <c r="K1" s="858"/>
      <c r="L1" s="858"/>
      <c r="M1" s="262"/>
    </row>
    <row r="2" spans="1:15" s="192" customFormat="1" ht="12.75" customHeight="1" x14ac:dyDescent="0.2">
      <c r="B2" s="263"/>
      <c r="E2" s="247" t="s">
        <v>8</v>
      </c>
      <c r="F2" s="247" t="s">
        <v>9</v>
      </c>
      <c r="G2" s="247" t="s">
        <v>10</v>
      </c>
      <c r="H2" s="247" t="s">
        <v>11</v>
      </c>
      <c r="I2" s="247" t="s">
        <v>12</v>
      </c>
      <c r="J2" s="247" t="s">
        <v>13</v>
      </c>
      <c r="K2" s="247" t="s">
        <v>296</v>
      </c>
      <c r="L2" s="385" t="s">
        <v>402</v>
      </c>
      <c r="M2" s="264"/>
    </row>
    <row r="3" spans="1:15" ht="14.25" customHeight="1" x14ac:dyDescent="0.2">
      <c r="B3" s="21" t="s">
        <v>292</v>
      </c>
      <c r="E3" s="267"/>
      <c r="F3" s="267"/>
      <c r="G3" s="267"/>
      <c r="H3" s="267"/>
      <c r="I3" s="267"/>
      <c r="J3" s="267"/>
      <c r="K3" s="267"/>
      <c r="L3" s="386"/>
      <c r="M3" s="269"/>
    </row>
    <row r="4" spans="1:15" ht="12.75" customHeight="1" x14ac:dyDescent="0.2">
      <c r="B4" s="21"/>
      <c r="C4" s="65" t="s">
        <v>29</v>
      </c>
      <c r="E4" s="226">
        <v>18188</v>
      </c>
      <c r="F4" s="228">
        <v>21216</v>
      </c>
      <c r="G4" s="226">
        <v>25315</v>
      </c>
      <c r="H4" s="226">
        <v>27171</v>
      </c>
      <c r="I4" s="228">
        <v>27860</v>
      </c>
      <c r="J4" s="228">
        <v>29899</v>
      </c>
      <c r="K4" s="228">
        <v>33274</v>
      </c>
      <c r="L4" s="383">
        <v>33950</v>
      </c>
      <c r="M4" s="474"/>
      <c r="O4" s="473"/>
    </row>
    <row r="5" spans="1:15" s="66" customFormat="1" ht="14.25" customHeight="1" x14ac:dyDescent="0.2">
      <c r="C5" s="202" t="s">
        <v>281</v>
      </c>
      <c r="D5" s="69"/>
      <c r="E5" s="226">
        <v>10006</v>
      </c>
      <c r="F5" s="226">
        <v>11313</v>
      </c>
      <c r="G5" s="226">
        <v>11936</v>
      </c>
      <c r="H5" s="226">
        <v>13316</v>
      </c>
      <c r="I5" s="226">
        <v>14310</v>
      </c>
      <c r="J5" s="226">
        <v>17770</v>
      </c>
      <c r="K5" s="226">
        <v>19478</v>
      </c>
      <c r="L5" s="759">
        <v>22023</v>
      </c>
      <c r="M5" s="474"/>
    </row>
    <row r="6" spans="1:15" ht="12.75" customHeight="1" x14ac:dyDescent="0.2">
      <c r="B6" s="21"/>
      <c r="C6" s="65" t="s">
        <v>31</v>
      </c>
      <c r="E6" s="226">
        <v>5233</v>
      </c>
      <c r="F6" s="228">
        <v>5676</v>
      </c>
      <c r="G6" s="226">
        <v>6125</v>
      </c>
      <c r="H6" s="226">
        <v>6732</v>
      </c>
      <c r="I6" s="228">
        <v>7281</v>
      </c>
      <c r="J6" s="228">
        <v>7603</v>
      </c>
      <c r="K6" s="228">
        <v>9092</v>
      </c>
      <c r="L6" s="383">
        <v>10254</v>
      </c>
      <c r="M6" s="474"/>
    </row>
    <row r="7" spans="1:15" s="66" customFormat="1" ht="12.75" customHeight="1" x14ac:dyDescent="0.2">
      <c r="B7" s="79"/>
      <c r="C7" s="66" t="s">
        <v>36</v>
      </c>
      <c r="E7" s="226">
        <v>7160</v>
      </c>
      <c r="F7" s="228">
        <v>7479</v>
      </c>
      <c r="G7" s="226">
        <v>7459</v>
      </c>
      <c r="H7" s="226">
        <v>8298</v>
      </c>
      <c r="I7" s="228">
        <v>8870</v>
      </c>
      <c r="J7" s="228">
        <v>10279</v>
      </c>
      <c r="K7" s="228">
        <v>10126</v>
      </c>
      <c r="L7" s="383">
        <v>11749</v>
      </c>
      <c r="M7" s="474"/>
    </row>
    <row r="8" spans="1:15" ht="12.75" customHeight="1" x14ac:dyDescent="0.2">
      <c r="B8" s="21"/>
      <c r="C8" s="65" t="s">
        <v>147</v>
      </c>
      <c r="E8" s="226">
        <v>1549</v>
      </c>
      <c r="F8" s="228">
        <v>1671</v>
      </c>
      <c r="G8" s="226">
        <v>1702</v>
      </c>
      <c r="H8" s="226">
        <v>2056</v>
      </c>
      <c r="I8" s="228">
        <v>2407</v>
      </c>
      <c r="J8" s="228">
        <v>2873</v>
      </c>
      <c r="K8" s="228">
        <v>3189</v>
      </c>
      <c r="L8" s="383">
        <v>3649</v>
      </c>
      <c r="M8" s="474"/>
    </row>
    <row r="9" spans="1:15" s="66" customFormat="1" ht="12.75" customHeight="1" x14ac:dyDescent="0.2">
      <c r="B9" s="79"/>
      <c r="C9" s="66" t="s">
        <v>153</v>
      </c>
      <c r="E9" s="226">
        <v>2072</v>
      </c>
      <c r="F9" s="228">
        <v>2323</v>
      </c>
      <c r="G9" s="226">
        <v>2328</v>
      </c>
      <c r="H9" s="226">
        <v>2571</v>
      </c>
      <c r="I9" s="228">
        <v>2660</v>
      </c>
      <c r="J9" s="228">
        <v>3208</v>
      </c>
      <c r="K9" s="228">
        <v>2919</v>
      </c>
      <c r="L9" s="383">
        <v>3057</v>
      </c>
      <c r="M9" s="474"/>
    </row>
    <row r="10" spans="1:15" ht="12.75" customHeight="1" x14ac:dyDescent="0.2">
      <c r="B10" s="21"/>
      <c r="C10" s="65" t="s">
        <v>151</v>
      </c>
      <c r="E10" s="226">
        <v>1289</v>
      </c>
      <c r="F10" s="228">
        <v>1389</v>
      </c>
      <c r="G10" s="226">
        <v>1666</v>
      </c>
      <c r="H10" s="226">
        <v>2081</v>
      </c>
      <c r="I10" s="228">
        <v>2100</v>
      </c>
      <c r="J10" s="228">
        <v>2451</v>
      </c>
      <c r="K10" s="228">
        <v>2828</v>
      </c>
      <c r="L10" s="383">
        <v>3085</v>
      </c>
      <c r="M10" s="474"/>
    </row>
    <row r="11" spans="1:15" s="66" customFormat="1" ht="12.75" customHeight="1" x14ac:dyDescent="0.2">
      <c r="B11" s="79"/>
      <c r="C11" s="66" t="s">
        <v>152</v>
      </c>
      <c r="E11" s="226">
        <v>710</v>
      </c>
      <c r="F11" s="228">
        <v>862</v>
      </c>
      <c r="G11" s="226">
        <v>727</v>
      </c>
      <c r="H11" s="226">
        <v>803</v>
      </c>
      <c r="I11" s="228">
        <v>940</v>
      </c>
      <c r="J11" s="228">
        <v>1361</v>
      </c>
      <c r="K11" s="228">
        <v>1134</v>
      </c>
      <c r="L11" s="383">
        <v>1156</v>
      </c>
      <c r="M11" s="474"/>
    </row>
    <row r="12" spans="1:15" ht="12.75" customHeight="1" x14ac:dyDescent="0.2">
      <c r="B12" s="21"/>
      <c r="C12" s="65" t="s">
        <v>62</v>
      </c>
      <c r="E12" s="226">
        <v>3010</v>
      </c>
      <c r="F12" s="228">
        <v>3154</v>
      </c>
      <c r="G12" s="226">
        <v>3519</v>
      </c>
      <c r="H12" s="226">
        <v>3864</v>
      </c>
      <c r="I12" s="228">
        <v>4106</v>
      </c>
      <c r="J12" s="228">
        <v>4797</v>
      </c>
      <c r="K12" s="228">
        <v>5364</v>
      </c>
      <c r="L12" s="383">
        <v>6162</v>
      </c>
      <c r="M12" s="474"/>
    </row>
    <row r="13" spans="1:15" s="82" customFormat="1" ht="12.75" customHeight="1" x14ac:dyDescent="0.2">
      <c r="B13" s="79"/>
      <c r="C13" s="82" t="s">
        <v>22</v>
      </c>
      <c r="E13" s="271">
        <v>49217</v>
      </c>
      <c r="F13" s="271">
        <v>55083</v>
      </c>
      <c r="G13" s="271">
        <v>60777</v>
      </c>
      <c r="H13" s="271">
        <v>66892</v>
      </c>
      <c r="I13" s="271">
        <v>70534</v>
      </c>
      <c r="J13" s="271">
        <v>80241</v>
      </c>
      <c r="K13" s="271">
        <v>87404</v>
      </c>
      <c r="L13" s="384">
        <f t="shared" ref="L13" si="0">SUM(L4:L12)</f>
        <v>95085</v>
      </c>
      <c r="M13" s="474"/>
      <c r="O13" s="473"/>
    </row>
    <row r="14" spans="1:15" s="66" customFormat="1" ht="3.95" customHeight="1" x14ac:dyDescent="0.2">
      <c r="B14" s="79"/>
      <c r="E14" s="273"/>
      <c r="F14" s="273"/>
      <c r="G14" s="29"/>
      <c r="H14" s="29"/>
      <c r="I14" s="228"/>
      <c r="J14" s="228">
        <v>0</v>
      </c>
      <c r="K14" s="228">
        <v>0</v>
      </c>
      <c r="L14" s="383">
        <v>0</v>
      </c>
      <c r="M14" s="474"/>
    </row>
    <row r="15" spans="1:15" s="45" customFormat="1" ht="3.75" customHeight="1" x14ac:dyDescent="0.2">
      <c r="B15" s="21"/>
      <c r="E15" s="287"/>
      <c r="F15" s="287"/>
      <c r="G15" s="287"/>
      <c r="H15" s="287"/>
      <c r="I15" s="287"/>
      <c r="J15" s="287"/>
      <c r="K15" s="287"/>
      <c r="L15" s="387"/>
      <c r="M15" s="474"/>
    </row>
    <row r="16" spans="1:15" ht="12.75" customHeight="1" x14ac:dyDescent="0.2">
      <c r="B16" s="45" t="s">
        <v>16</v>
      </c>
      <c r="E16" s="290"/>
      <c r="F16" s="289"/>
      <c r="G16" s="289"/>
      <c r="H16" s="270"/>
      <c r="I16" s="289"/>
      <c r="J16" s="270"/>
      <c r="K16" s="270"/>
      <c r="L16" s="386"/>
      <c r="M16" s="474"/>
    </row>
    <row r="17" spans="2:15" ht="3.75" customHeight="1" x14ac:dyDescent="0.2">
      <c r="E17" s="290"/>
      <c r="F17" s="289"/>
      <c r="G17" s="289"/>
      <c r="H17" s="270"/>
      <c r="I17" s="289"/>
      <c r="J17" s="270"/>
      <c r="K17" s="270"/>
      <c r="L17" s="386"/>
      <c r="M17" s="474"/>
    </row>
    <row r="18" spans="2:15" ht="12.75" customHeight="1" x14ac:dyDescent="0.2">
      <c r="B18" s="21"/>
      <c r="C18" s="66" t="s">
        <v>132</v>
      </c>
      <c r="D18" s="66"/>
      <c r="E18" s="226">
        <v>7821</v>
      </c>
      <c r="F18" s="228">
        <v>10378</v>
      </c>
      <c r="G18" s="226">
        <v>12166</v>
      </c>
      <c r="H18" s="226">
        <v>14121</v>
      </c>
      <c r="I18" s="228">
        <v>17803</v>
      </c>
      <c r="J18" s="228">
        <v>22481</v>
      </c>
      <c r="K18" s="228">
        <v>26430</v>
      </c>
      <c r="L18" s="383">
        <v>32739</v>
      </c>
      <c r="M18" s="474"/>
    </row>
    <row r="19" spans="2:15" ht="14.25" customHeight="1" x14ac:dyDescent="0.2">
      <c r="B19" s="21"/>
      <c r="C19" s="66" t="s">
        <v>291</v>
      </c>
      <c r="D19" s="66"/>
      <c r="E19" s="226">
        <v>4560</v>
      </c>
      <c r="F19" s="228">
        <v>4665</v>
      </c>
      <c r="G19" s="226">
        <v>5509</v>
      </c>
      <c r="H19" s="226">
        <v>6306</v>
      </c>
      <c r="I19" s="228">
        <v>8487</v>
      </c>
      <c r="J19" s="228">
        <v>9960</v>
      </c>
      <c r="K19" s="228">
        <v>11381</v>
      </c>
      <c r="L19" s="383">
        <v>14032</v>
      </c>
      <c r="M19" s="474"/>
    </row>
    <row r="20" spans="2:15" ht="12.75" customHeight="1" x14ac:dyDescent="0.2">
      <c r="B20" s="21"/>
      <c r="C20" s="65" t="s">
        <v>148</v>
      </c>
      <c r="E20" s="226">
        <v>3203</v>
      </c>
      <c r="F20" s="228">
        <v>3930</v>
      </c>
      <c r="G20" s="226">
        <v>4574</v>
      </c>
      <c r="H20" s="226">
        <v>5434</v>
      </c>
      <c r="I20" s="228">
        <v>5890</v>
      </c>
      <c r="J20" s="228">
        <v>6995</v>
      </c>
      <c r="K20" s="228">
        <v>9229</v>
      </c>
      <c r="L20" s="383">
        <v>11210</v>
      </c>
      <c r="M20" s="474"/>
    </row>
    <row r="21" spans="2:15" ht="12.75" customHeight="1" x14ac:dyDescent="0.2">
      <c r="B21" s="21"/>
      <c r="C21" s="66" t="s">
        <v>157</v>
      </c>
      <c r="D21" s="66"/>
      <c r="E21" s="226">
        <v>2154</v>
      </c>
      <c r="F21" s="228">
        <v>2374</v>
      </c>
      <c r="G21" s="226">
        <v>3159</v>
      </c>
      <c r="H21" s="226">
        <v>3433</v>
      </c>
      <c r="I21" s="228">
        <v>4196</v>
      </c>
      <c r="J21" s="228">
        <v>5442</v>
      </c>
      <c r="K21" s="228">
        <v>6150</v>
      </c>
      <c r="L21" s="383">
        <v>7461</v>
      </c>
      <c r="M21" s="474"/>
    </row>
    <row r="22" spans="2:15" ht="12.75" customHeight="1" x14ac:dyDescent="0.2">
      <c r="B22" s="21"/>
      <c r="C22" s="66" t="s">
        <v>62</v>
      </c>
      <c r="D22" s="66"/>
      <c r="E22" s="226">
        <v>983</v>
      </c>
      <c r="F22" s="226">
        <v>1186</v>
      </c>
      <c r="G22" s="226">
        <v>1388</v>
      </c>
      <c r="H22" s="226">
        <v>1650</v>
      </c>
      <c r="I22" s="228">
        <v>2006</v>
      </c>
      <c r="J22" s="228">
        <v>2448</v>
      </c>
      <c r="K22" s="228">
        <v>2965</v>
      </c>
      <c r="L22" s="383">
        <v>3564</v>
      </c>
      <c r="M22" s="474"/>
    </row>
    <row r="23" spans="2:15" s="45" customFormat="1" ht="12.75" customHeight="1" x14ac:dyDescent="0.2">
      <c r="B23" s="21"/>
      <c r="C23" s="82" t="s">
        <v>22</v>
      </c>
      <c r="E23" s="271">
        <v>18721</v>
      </c>
      <c r="F23" s="271">
        <v>22533</v>
      </c>
      <c r="G23" s="271">
        <v>26796</v>
      </c>
      <c r="H23" s="271">
        <v>30944</v>
      </c>
      <c r="I23" s="271">
        <v>38382</v>
      </c>
      <c r="J23" s="271">
        <v>47326</v>
      </c>
      <c r="K23" s="271">
        <v>56155</v>
      </c>
      <c r="L23" s="384">
        <f t="shared" ref="L23" si="1">SUM(L18:L22)</f>
        <v>69006</v>
      </c>
      <c r="M23" s="474"/>
      <c r="O23" s="473"/>
    </row>
    <row r="24" spans="2:15" ht="3.95" customHeight="1" x14ac:dyDescent="0.2">
      <c r="B24" s="21"/>
      <c r="E24" s="290"/>
      <c r="F24" s="292"/>
      <c r="G24" s="289"/>
      <c r="H24" s="289"/>
      <c r="I24" s="277"/>
      <c r="J24" s="135"/>
      <c r="K24" s="135"/>
      <c r="L24" s="388"/>
      <c r="M24" s="474"/>
    </row>
    <row r="25" spans="2:15" s="45" customFormat="1" ht="12.75" customHeight="1" thickBot="1" x14ac:dyDescent="0.25">
      <c r="B25" s="21" t="s">
        <v>137</v>
      </c>
      <c r="E25" s="278">
        <v>67938</v>
      </c>
      <c r="F25" s="278">
        <v>77616</v>
      </c>
      <c r="G25" s="278">
        <v>87573</v>
      </c>
      <c r="H25" s="278">
        <v>97836</v>
      </c>
      <c r="I25" s="278">
        <v>108916</v>
      </c>
      <c r="J25" s="278">
        <v>127567</v>
      </c>
      <c r="K25" s="278">
        <v>143559</v>
      </c>
      <c r="L25" s="389">
        <f t="shared" ref="L25" si="2">+L23+L13</f>
        <v>164091</v>
      </c>
      <c r="M25" s="474"/>
      <c r="O25" s="473"/>
    </row>
    <row r="26" spans="2:15" s="45" customFormat="1" ht="12.75" customHeight="1" thickTop="1" x14ac:dyDescent="0.2">
      <c r="B26" s="21"/>
      <c r="C26" s="21"/>
      <c r="D26" s="21"/>
      <c r="E26" s="297"/>
      <c r="F26" s="297"/>
      <c r="G26" s="297"/>
      <c r="H26" s="297"/>
      <c r="I26" s="297"/>
      <c r="J26" s="297"/>
      <c r="K26" s="297"/>
      <c r="L26" s="280"/>
      <c r="M26" s="274"/>
    </row>
    <row r="27" spans="2:15" s="10" customFormat="1" ht="12.75" customHeight="1" x14ac:dyDescent="0.2">
      <c r="E27" s="233"/>
      <c r="F27" s="233"/>
      <c r="G27" s="233"/>
      <c r="H27" s="233"/>
      <c r="I27" s="233"/>
      <c r="J27" s="233"/>
      <c r="K27" s="233"/>
      <c r="L27" s="233"/>
      <c r="M27" s="262"/>
    </row>
    <row r="28" spans="2:15" s="45" customFormat="1" ht="12.75" customHeight="1" x14ac:dyDescent="0.2">
      <c r="B28" s="10" t="s">
        <v>40</v>
      </c>
      <c r="E28" s="233"/>
      <c r="F28" s="233"/>
      <c r="G28" s="65"/>
      <c r="H28" s="233"/>
      <c r="I28" s="235"/>
      <c r="J28" s="235"/>
      <c r="K28" s="235"/>
      <c r="L28" s="236"/>
      <c r="M28" s="236"/>
    </row>
    <row r="29" spans="2:15" s="45" customFormat="1" ht="25.5" customHeight="1" x14ac:dyDescent="0.2">
      <c r="B29" s="165" t="s">
        <v>41</v>
      </c>
      <c r="C29" s="855" t="s">
        <v>444</v>
      </c>
      <c r="D29" s="855"/>
      <c r="E29" s="855"/>
      <c r="F29" s="855"/>
      <c r="G29" s="855"/>
      <c r="H29" s="855"/>
      <c r="I29" s="855"/>
      <c r="J29" s="855"/>
      <c r="K29" s="855"/>
      <c r="L29" s="855"/>
      <c r="M29" s="236"/>
    </row>
    <row r="30" spans="2:15" s="45" customFormat="1" ht="12.75" customHeight="1" x14ac:dyDescent="0.2">
      <c r="B30" s="165" t="s">
        <v>43</v>
      </c>
      <c r="C30" s="855" t="s">
        <v>178</v>
      </c>
      <c r="D30" s="855"/>
      <c r="E30" s="861"/>
      <c r="F30" s="861"/>
      <c r="G30" s="861"/>
      <c r="H30" s="861"/>
      <c r="I30" s="861"/>
      <c r="J30" s="861"/>
      <c r="K30" s="861"/>
      <c r="L30" s="861"/>
      <c r="M30" s="236"/>
    </row>
    <row r="31" spans="2:15" s="45" customFormat="1" ht="12.75" customHeight="1" x14ac:dyDescent="0.2">
      <c r="B31" s="165"/>
      <c r="C31" s="861"/>
      <c r="D31" s="861"/>
      <c r="E31" s="861"/>
      <c r="F31" s="861"/>
      <c r="G31" s="861"/>
      <c r="H31" s="861"/>
      <c r="I31" s="861"/>
      <c r="J31" s="861"/>
      <c r="K31" s="861"/>
      <c r="L31" s="861"/>
      <c r="M31" s="236"/>
    </row>
    <row r="32" spans="2:15" s="45" customFormat="1" ht="12.75" customHeight="1" x14ac:dyDescent="0.2">
      <c r="B32" s="165"/>
      <c r="C32" s="65" t="s">
        <v>179</v>
      </c>
      <c r="D32" s="65"/>
      <c r="E32" s="233"/>
      <c r="F32" s="233"/>
      <c r="G32" s="65"/>
      <c r="H32" s="233"/>
      <c r="I32" s="235"/>
      <c r="J32" s="235"/>
      <c r="K32" s="235"/>
      <c r="L32" s="236"/>
      <c r="M32" s="236"/>
    </row>
    <row r="33" spans="2:13" s="45" customFormat="1" ht="12.75" customHeight="1" x14ac:dyDescent="0.2">
      <c r="B33" s="165" t="s">
        <v>124</v>
      </c>
      <c r="C33" s="774" t="s">
        <v>440</v>
      </c>
      <c r="D33" s="241"/>
      <c r="E33" s="241"/>
      <c r="F33" s="241"/>
      <c r="G33" s="241"/>
      <c r="H33" s="241"/>
      <c r="I33" s="241"/>
      <c r="J33" s="241"/>
      <c r="K33" s="241"/>
      <c r="L33" s="241"/>
      <c r="M33" s="377"/>
    </row>
    <row r="34" spans="2:13" ht="12.75" customHeight="1" x14ac:dyDescent="0.2">
      <c r="B34" s="165" t="s">
        <v>139</v>
      </c>
      <c r="C34" s="860" t="s">
        <v>164</v>
      </c>
      <c r="D34" s="860"/>
      <c r="E34" s="860"/>
      <c r="F34" s="860"/>
      <c r="G34" s="860"/>
      <c r="H34" s="860"/>
      <c r="I34" s="860"/>
      <c r="J34" s="860"/>
      <c r="K34" s="860"/>
      <c r="L34" s="860"/>
      <c r="M34" s="860"/>
    </row>
    <row r="35" spans="2:13" ht="14.25" customHeight="1" x14ac:dyDescent="0.2"/>
    <row r="41" spans="2:13" ht="12.75" customHeight="1" x14ac:dyDescent="0.2"/>
    <row r="42" spans="2:13" ht="12.75" customHeight="1" x14ac:dyDescent="0.2"/>
    <row r="43" spans="2:13" ht="12.75" customHeight="1" x14ac:dyDescent="0.2"/>
    <row r="44" spans="2:13" ht="12.75" customHeight="1" x14ac:dyDescent="0.2"/>
  </sheetData>
  <sheetProtection formatCells="0" formatColumns="0" formatRows="0" sort="0" autoFilter="0" pivotTables="0"/>
  <mergeCells count="4">
    <mergeCell ref="E1:L1"/>
    <mergeCell ref="C34:M34"/>
    <mergeCell ref="C30:L31"/>
    <mergeCell ref="C29:L29"/>
  </mergeCells>
  <conditionalFormatting sqref="W49:W50 W120:W121 L120:L121 E120:E121 F121:K122 E49:L50">
    <cfRule type="cellIs" dxfId="5"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1" orientation="portrait" horizontalDpi="300" verticalDpi="300"/>
  <headerFooter alignWithMargins="0">
    <oddHeader>&amp;L&amp;"Vodafone Rg,Regular"Vodafone Group Plc&amp;C&amp;"Vodafone Rg,Regular"10 Data usage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58"/>
  <sheetViews>
    <sheetView showGridLines="0" zoomScale="70" zoomScaleNormal="70" workbookViewId="0"/>
  </sheetViews>
  <sheetFormatPr defaultRowHeight="12.75" x14ac:dyDescent="0.2"/>
  <cols>
    <col min="1" max="1" width="5.42578125" style="65" customWidth="1"/>
    <col min="2" max="2" width="3.7109375" style="45" customWidth="1"/>
    <col min="3" max="3" width="33" style="65" customWidth="1"/>
    <col min="4" max="6" width="10.42578125" style="260" customWidth="1"/>
    <col min="7" max="10" width="10.42578125" style="65" customWidth="1"/>
    <col min="11" max="11" width="10.42578125" style="45" customWidth="1"/>
    <col min="12" max="21" width="9.140625" style="65" customWidth="1"/>
    <col min="22" max="256" width="11.42578125" style="65" customWidth="1"/>
    <col min="257" max="16384" width="9.140625" style="65"/>
  </cols>
  <sheetData>
    <row r="1" spans="1:11" x14ac:dyDescent="0.2">
      <c r="A1" s="688" t="s">
        <v>414</v>
      </c>
      <c r="B1" s="13"/>
      <c r="D1" s="858" t="s">
        <v>295</v>
      </c>
      <c r="E1" s="858"/>
      <c r="F1" s="858"/>
      <c r="G1" s="858"/>
      <c r="H1" s="858"/>
      <c r="I1" s="858"/>
      <c r="J1" s="858"/>
      <c r="K1" s="858"/>
    </row>
    <row r="2" spans="1:11" ht="12.75" customHeight="1" x14ac:dyDescent="0.2">
      <c r="B2" s="196"/>
      <c r="C2" s="192"/>
      <c r="D2" s="246" t="s">
        <v>8</v>
      </c>
      <c r="E2" s="246" t="s">
        <v>9</v>
      </c>
      <c r="F2" s="246" t="s">
        <v>10</v>
      </c>
      <c r="G2" s="246" t="s">
        <v>11</v>
      </c>
      <c r="H2" s="201" t="s">
        <v>12</v>
      </c>
      <c r="I2" s="247" t="s">
        <v>13</v>
      </c>
      <c r="J2" s="247" t="s">
        <v>296</v>
      </c>
      <c r="K2" s="385" t="s">
        <v>402</v>
      </c>
    </row>
    <row r="3" spans="1:11" ht="12.75" customHeight="1" x14ac:dyDescent="0.2">
      <c r="B3" s="45" t="s">
        <v>292</v>
      </c>
      <c r="D3" s="22"/>
      <c r="E3" s="22"/>
      <c r="F3" s="299"/>
      <c r="G3" s="299"/>
      <c r="H3" s="299"/>
      <c r="I3" s="299"/>
      <c r="J3" s="299"/>
      <c r="K3" s="760"/>
    </row>
    <row r="4" spans="1:11" ht="12.75" customHeight="1" x14ac:dyDescent="0.2">
      <c r="C4" s="248" t="s">
        <v>180</v>
      </c>
      <c r="D4" s="300"/>
      <c r="E4" s="300"/>
      <c r="F4" s="300"/>
      <c r="G4" s="300"/>
      <c r="H4" s="300"/>
      <c r="I4" s="300"/>
      <c r="J4" s="300"/>
      <c r="K4" s="761"/>
    </row>
    <row r="5" spans="1:11" ht="12.75" customHeight="1" x14ac:dyDescent="0.2">
      <c r="C5" s="301" t="s">
        <v>22</v>
      </c>
      <c r="D5" s="302">
        <v>14.9</v>
      </c>
      <c r="E5" s="302">
        <v>15.2</v>
      </c>
      <c r="F5" s="302">
        <v>15.3</v>
      </c>
      <c r="G5" s="302">
        <v>15.4</v>
      </c>
      <c r="H5" s="302">
        <v>15.7</v>
      </c>
      <c r="I5" s="302">
        <v>15.8</v>
      </c>
      <c r="J5" s="302">
        <v>15.3</v>
      </c>
      <c r="K5" s="762">
        <v>14.9</v>
      </c>
    </row>
    <row r="6" spans="1:11" ht="12.75" customHeight="1" x14ac:dyDescent="0.2">
      <c r="C6" s="303" t="s">
        <v>20</v>
      </c>
      <c r="D6" s="302">
        <v>29.9</v>
      </c>
      <c r="E6" s="302">
        <v>29.9</v>
      </c>
      <c r="F6" s="302">
        <v>29.4</v>
      </c>
      <c r="G6" s="302">
        <v>28.8</v>
      </c>
      <c r="H6" s="302">
        <v>28.6</v>
      </c>
      <c r="I6" s="302">
        <v>28.7</v>
      </c>
      <c r="J6" s="302">
        <v>28.2</v>
      </c>
      <c r="K6" s="762">
        <v>27.6</v>
      </c>
    </row>
    <row r="7" spans="1:11" ht="12.75" customHeight="1" x14ac:dyDescent="0.2">
      <c r="C7" s="303" t="s">
        <v>170</v>
      </c>
      <c r="D7" s="302">
        <v>3.5</v>
      </c>
      <c r="E7" s="302">
        <v>3.7</v>
      </c>
      <c r="F7" s="302">
        <v>3.7</v>
      </c>
      <c r="G7" s="302">
        <v>3.6</v>
      </c>
      <c r="H7" s="302">
        <v>3.8</v>
      </c>
      <c r="I7" s="302">
        <v>3.8</v>
      </c>
      <c r="J7" s="302">
        <v>3.6</v>
      </c>
      <c r="K7" s="762">
        <v>3.3</v>
      </c>
    </row>
    <row r="8" spans="1:11" ht="12.75" customHeight="1" x14ac:dyDescent="0.2">
      <c r="C8" s="45" t="s">
        <v>185</v>
      </c>
      <c r="D8" s="304"/>
      <c r="E8" s="304"/>
      <c r="F8" s="304"/>
      <c r="G8" s="304"/>
      <c r="H8" s="305"/>
      <c r="I8" s="305"/>
      <c r="J8" s="305"/>
      <c r="K8" s="763"/>
    </row>
    <row r="9" spans="1:11" ht="12.75" customHeight="1" x14ac:dyDescent="0.2">
      <c r="C9" s="301" t="s">
        <v>22</v>
      </c>
      <c r="D9" s="302">
        <v>17.8</v>
      </c>
      <c r="E9" s="302">
        <v>16.8</v>
      </c>
      <c r="F9" s="302">
        <v>16.2</v>
      </c>
      <c r="G9" s="302">
        <v>15.1</v>
      </c>
      <c r="H9" s="302">
        <v>14.8</v>
      </c>
      <c r="I9" s="302">
        <v>14.1</v>
      </c>
      <c r="J9" s="302">
        <v>13.3</v>
      </c>
      <c r="K9" s="762">
        <v>12.4</v>
      </c>
    </row>
    <row r="10" spans="1:11" ht="12.75" customHeight="1" x14ac:dyDescent="0.2">
      <c r="C10" s="303" t="s">
        <v>20</v>
      </c>
      <c r="D10" s="302">
        <v>37.200000000000003</v>
      </c>
      <c r="E10" s="302">
        <v>34.200000000000003</v>
      </c>
      <c r="F10" s="302">
        <v>33.200000000000003</v>
      </c>
      <c r="G10" s="302">
        <v>31.1</v>
      </c>
      <c r="H10" s="302">
        <v>31.2</v>
      </c>
      <c r="I10" s="302">
        <v>29.1</v>
      </c>
      <c r="J10" s="302">
        <v>27.9</v>
      </c>
      <c r="K10" s="762">
        <v>26</v>
      </c>
    </row>
    <row r="11" spans="1:11" ht="12.75" customHeight="1" x14ac:dyDescent="0.2">
      <c r="C11" s="303" t="s">
        <v>170</v>
      </c>
      <c r="D11" s="302">
        <v>13.8</v>
      </c>
      <c r="E11" s="302">
        <v>13.1</v>
      </c>
      <c r="F11" s="302">
        <v>12.4</v>
      </c>
      <c r="G11" s="302">
        <v>11.5</v>
      </c>
      <c r="H11" s="302">
        <v>11</v>
      </c>
      <c r="I11" s="302">
        <v>10.6</v>
      </c>
      <c r="J11" s="302">
        <v>10</v>
      </c>
      <c r="K11" s="762">
        <v>9.4</v>
      </c>
    </row>
    <row r="12" spans="1:11" ht="12.75" customHeight="1" x14ac:dyDescent="0.2">
      <c r="C12" s="45" t="s">
        <v>181</v>
      </c>
      <c r="D12" s="304"/>
      <c r="E12" s="304"/>
      <c r="F12" s="304"/>
      <c r="G12" s="304"/>
      <c r="H12" s="305"/>
      <c r="I12" s="305"/>
      <c r="J12" s="305"/>
      <c r="K12" s="763"/>
    </row>
    <row r="13" spans="1:11" ht="12.75" customHeight="1" x14ac:dyDescent="0.2">
      <c r="C13" s="301" t="s">
        <v>22</v>
      </c>
      <c r="D13" s="302">
        <v>19.2</v>
      </c>
      <c r="E13" s="302">
        <v>19.3</v>
      </c>
      <c r="F13" s="302">
        <v>19</v>
      </c>
      <c r="G13" s="302">
        <v>18.5</v>
      </c>
      <c r="H13" s="302">
        <v>18.2</v>
      </c>
      <c r="I13" s="302">
        <v>18.3</v>
      </c>
      <c r="J13" s="302">
        <v>17.8</v>
      </c>
      <c r="K13" s="762">
        <v>17.399999999999999</v>
      </c>
    </row>
    <row r="14" spans="1:11" ht="12.75" customHeight="1" x14ac:dyDescent="0.2">
      <c r="C14" s="303" t="s">
        <v>20</v>
      </c>
      <c r="D14" s="302">
        <v>30.9</v>
      </c>
      <c r="E14" s="302">
        <v>30.6</v>
      </c>
      <c r="F14" s="302">
        <v>29.8</v>
      </c>
      <c r="G14" s="302">
        <v>28.8</v>
      </c>
      <c r="H14" s="302">
        <v>28.2</v>
      </c>
      <c r="I14" s="302">
        <v>28.3</v>
      </c>
      <c r="J14" s="302">
        <v>27.5</v>
      </c>
      <c r="K14" s="762">
        <v>26.6</v>
      </c>
    </row>
    <row r="15" spans="1:11" ht="12.75" customHeight="1" x14ac:dyDescent="0.2">
      <c r="C15" s="303" t="s">
        <v>170</v>
      </c>
      <c r="D15" s="302">
        <v>5.4</v>
      </c>
      <c r="E15" s="302">
        <v>5.4</v>
      </c>
      <c r="F15" s="302">
        <v>5.2</v>
      </c>
      <c r="G15" s="302">
        <v>4.7</v>
      </c>
      <c r="H15" s="302">
        <v>4.4000000000000004</v>
      </c>
      <c r="I15" s="302">
        <v>4.3</v>
      </c>
      <c r="J15" s="302">
        <v>4.2</v>
      </c>
      <c r="K15" s="762">
        <v>4</v>
      </c>
    </row>
    <row r="16" spans="1:11" ht="12.75" customHeight="1" x14ac:dyDescent="0.2">
      <c r="C16" s="45" t="s">
        <v>186</v>
      </c>
      <c r="D16" s="304"/>
      <c r="E16" s="304"/>
      <c r="F16" s="304"/>
      <c r="G16" s="304"/>
      <c r="H16" s="305"/>
      <c r="I16" s="305"/>
      <c r="J16" s="305"/>
      <c r="K16" s="763"/>
    </row>
    <row r="17" spans="3:11" ht="12.75" customHeight="1" x14ac:dyDescent="0.2">
      <c r="C17" s="301" t="s">
        <v>22</v>
      </c>
      <c r="D17" s="302">
        <v>19.100000000000001</v>
      </c>
      <c r="E17" s="302">
        <v>19.7</v>
      </c>
      <c r="F17" s="302">
        <v>19.8</v>
      </c>
      <c r="G17" s="302">
        <v>19.7</v>
      </c>
      <c r="H17" s="302">
        <v>20.2</v>
      </c>
      <c r="I17" s="302">
        <v>19.3</v>
      </c>
      <c r="J17" s="302">
        <v>19.2</v>
      </c>
      <c r="K17" s="762">
        <v>18.7</v>
      </c>
    </row>
    <row r="18" spans="3:11" ht="12.75" customHeight="1" x14ac:dyDescent="0.2">
      <c r="C18" s="303" t="s">
        <v>20</v>
      </c>
      <c r="D18" s="302">
        <v>28.1</v>
      </c>
      <c r="E18" s="302">
        <v>28.3</v>
      </c>
      <c r="F18" s="302">
        <v>28</v>
      </c>
      <c r="G18" s="302">
        <v>27.2</v>
      </c>
      <c r="H18" s="302">
        <v>27.1</v>
      </c>
      <c r="I18" s="302">
        <v>25.8</v>
      </c>
      <c r="J18" s="302">
        <v>25.5</v>
      </c>
      <c r="K18" s="762">
        <v>24.6</v>
      </c>
    </row>
    <row r="19" spans="3:11" ht="12.75" customHeight="1" x14ac:dyDescent="0.2">
      <c r="C19" s="303" t="s">
        <v>170</v>
      </c>
      <c r="D19" s="302">
        <v>5.2</v>
      </c>
      <c r="E19" s="302">
        <v>5.6</v>
      </c>
      <c r="F19" s="302">
        <v>5.4</v>
      </c>
      <c r="G19" s="302">
        <v>5.3</v>
      </c>
      <c r="H19" s="302">
        <v>5.6</v>
      </c>
      <c r="I19" s="302">
        <v>5.4</v>
      </c>
      <c r="J19" s="302">
        <v>5</v>
      </c>
      <c r="K19" s="762">
        <v>4.9000000000000004</v>
      </c>
    </row>
    <row r="20" spans="3:11" ht="12.75" customHeight="1" x14ac:dyDescent="0.2">
      <c r="C20" s="45" t="s">
        <v>182</v>
      </c>
      <c r="D20" s="302"/>
      <c r="E20" s="302"/>
      <c r="F20" s="302"/>
      <c r="G20" s="302"/>
      <c r="H20" s="302"/>
      <c r="I20" s="302"/>
      <c r="J20" s="302"/>
      <c r="K20" s="762"/>
    </row>
    <row r="21" spans="3:11" ht="12.75" customHeight="1" x14ac:dyDescent="0.2">
      <c r="C21" s="301" t="s">
        <v>22</v>
      </c>
      <c r="D21" s="302">
        <v>27.3</v>
      </c>
      <c r="E21" s="302">
        <v>27.3</v>
      </c>
      <c r="F21" s="302">
        <v>26.4</v>
      </c>
      <c r="G21" s="302">
        <v>25.8</v>
      </c>
      <c r="H21" s="302">
        <v>25.7</v>
      </c>
      <c r="I21" s="302">
        <v>25.5</v>
      </c>
      <c r="J21" s="302">
        <v>25</v>
      </c>
      <c r="K21" s="762">
        <v>24.3</v>
      </c>
    </row>
    <row r="22" spans="3:11" ht="12.75" customHeight="1" x14ac:dyDescent="0.2">
      <c r="C22" s="303" t="s">
        <v>20</v>
      </c>
      <c r="D22" s="302">
        <v>38.5</v>
      </c>
      <c r="E22" s="302">
        <v>38.200000000000003</v>
      </c>
      <c r="F22" s="302">
        <v>36.700000000000003</v>
      </c>
      <c r="G22" s="302">
        <v>35.6</v>
      </c>
      <c r="H22" s="302">
        <v>35.200000000000003</v>
      </c>
      <c r="I22" s="302">
        <v>34.799999999999997</v>
      </c>
      <c r="J22" s="302">
        <v>33.700000000000003</v>
      </c>
      <c r="K22" s="762">
        <v>32.5</v>
      </c>
    </row>
    <row r="23" spans="3:11" ht="12.75" customHeight="1" x14ac:dyDescent="0.2">
      <c r="C23" s="303" t="s">
        <v>170</v>
      </c>
      <c r="D23" s="302">
        <v>7</v>
      </c>
      <c r="E23" s="302">
        <v>7.1</v>
      </c>
      <c r="F23" s="302">
        <v>6.1</v>
      </c>
      <c r="G23" s="302">
        <v>5.4</v>
      </c>
      <c r="H23" s="302">
        <v>5.3</v>
      </c>
      <c r="I23" s="302">
        <v>5.3</v>
      </c>
      <c r="J23" s="302">
        <v>4.5999999999999996</v>
      </c>
      <c r="K23" s="762">
        <v>4.2</v>
      </c>
    </row>
    <row r="24" spans="3:11" ht="12.75" customHeight="1" x14ac:dyDescent="0.2">
      <c r="C24" s="45" t="s">
        <v>188</v>
      </c>
      <c r="D24" s="302"/>
      <c r="E24" s="302"/>
      <c r="F24" s="302"/>
      <c r="G24" s="302"/>
      <c r="H24" s="302"/>
      <c r="I24" s="302"/>
      <c r="J24" s="302"/>
      <c r="K24" s="762"/>
    </row>
    <row r="25" spans="3:11" ht="12.75" customHeight="1" x14ac:dyDescent="0.2">
      <c r="C25" s="301" t="s">
        <v>22</v>
      </c>
      <c r="D25" s="302">
        <v>13</v>
      </c>
      <c r="E25" s="302">
        <v>13</v>
      </c>
      <c r="F25" s="302">
        <v>12.1</v>
      </c>
      <c r="G25" s="302">
        <v>11.9</v>
      </c>
      <c r="H25" s="302">
        <v>11.7</v>
      </c>
      <c r="I25" s="302">
        <v>12.1</v>
      </c>
      <c r="J25" s="302">
        <v>11.8</v>
      </c>
      <c r="K25" s="762">
        <v>11.5</v>
      </c>
    </row>
    <row r="26" spans="3:11" ht="12.75" customHeight="1" x14ac:dyDescent="0.2">
      <c r="C26" s="303" t="s">
        <v>20</v>
      </c>
      <c r="D26" s="302">
        <v>31.8</v>
      </c>
      <c r="E26" s="302">
        <v>31.9</v>
      </c>
      <c r="F26" s="302">
        <v>30</v>
      </c>
      <c r="G26" s="302">
        <v>29.5</v>
      </c>
      <c r="H26" s="302">
        <v>29</v>
      </c>
      <c r="I26" s="302">
        <v>28.5</v>
      </c>
      <c r="J26" s="302">
        <v>27.5</v>
      </c>
      <c r="K26" s="762">
        <v>26</v>
      </c>
    </row>
    <row r="27" spans="3:11" ht="12.75" customHeight="1" x14ac:dyDescent="0.2">
      <c r="C27" s="303" t="s">
        <v>170</v>
      </c>
      <c r="D27" s="302">
        <v>8.6999999999999993</v>
      </c>
      <c r="E27" s="302">
        <v>8.9</v>
      </c>
      <c r="F27" s="302">
        <v>8.3000000000000007</v>
      </c>
      <c r="G27" s="302">
        <v>8.1999999999999993</v>
      </c>
      <c r="H27" s="302">
        <v>8</v>
      </c>
      <c r="I27" s="302">
        <v>8.4</v>
      </c>
      <c r="J27" s="302">
        <v>8.1999999999999993</v>
      </c>
      <c r="K27" s="762">
        <v>7.7</v>
      </c>
    </row>
    <row r="28" spans="3:11" ht="12.75" customHeight="1" x14ac:dyDescent="0.2">
      <c r="C28" s="45" t="s">
        <v>187</v>
      </c>
      <c r="D28" s="302"/>
      <c r="E28" s="302"/>
      <c r="F28" s="302"/>
      <c r="G28" s="302"/>
      <c r="H28" s="302"/>
      <c r="I28" s="302"/>
      <c r="J28" s="302"/>
      <c r="K28" s="762"/>
    </row>
    <row r="29" spans="3:11" ht="12.75" customHeight="1" x14ac:dyDescent="0.2">
      <c r="C29" s="301" t="s">
        <v>22</v>
      </c>
      <c r="D29" s="302">
        <v>14.7</v>
      </c>
      <c r="E29" s="302">
        <v>14.8</v>
      </c>
      <c r="F29" s="302">
        <v>13.1</v>
      </c>
      <c r="G29" s="302">
        <v>11.5</v>
      </c>
      <c r="H29" s="302">
        <v>11.1</v>
      </c>
      <c r="I29" s="302">
        <v>11</v>
      </c>
      <c r="J29" s="302">
        <v>10</v>
      </c>
      <c r="K29" s="762">
        <v>9.5</v>
      </c>
    </row>
    <row r="30" spans="3:11" ht="12.75" customHeight="1" x14ac:dyDescent="0.2">
      <c r="C30" s="303" t="s">
        <v>20</v>
      </c>
      <c r="D30" s="302">
        <v>31.2</v>
      </c>
      <c r="E30" s="302">
        <v>31.5</v>
      </c>
      <c r="F30" s="302">
        <v>28.6</v>
      </c>
      <c r="G30" s="302">
        <v>26.3</v>
      </c>
      <c r="H30" s="302">
        <v>25.8</v>
      </c>
      <c r="I30" s="302">
        <v>25.8</v>
      </c>
      <c r="J30" s="302">
        <v>24.1</v>
      </c>
      <c r="K30" s="762">
        <v>23.5</v>
      </c>
    </row>
    <row r="31" spans="3:11" ht="12.75" customHeight="1" x14ac:dyDescent="0.2">
      <c r="C31" s="303" t="s">
        <v>170</v>
      </c>
      <c r="D31" s="302">
        <v>4.9000000000000004</v>
      </c>
      <c r="E31" s="302">
        <v>5.0999999999999996</v>
      </c>
      <c r="F31" s="302">
        <v>4.5</v>
      </c>
      <c r="G31" s="302">
        <v>3.6</v>
      </c>
      <c r="H31" s="302">
        <v>3.7</v>
      </c>
      <c r="I31" s="302">
        <v>3.8</v>
      </c>
      <c r="J31" s="302">
        <v>3.3</v>
      </c>
      <c r="K31" s="762">
        <v>3</v>
      </c>
    </row>
    <row r="32" spans="3:11" ht="12.75" customHeight="1" x14ac:dyDescent="0.2">
      <c r="C32" s="45" t="s">
        <v>184</v>
      </c>
      <c r="D32" s="304"/>
      <c r="E32" s="302"/>
      <c r="F32" s="302"/>
      <c r="G32" s="302"/>
      <c r="H32" s="302"/>
      <c r="I32" s="302"/>
      <c r="J32" s="302"/>
      <c r="K32" s="762"/>
    </row>
    <row r="33" spans="2:11" ht="12.75" customHeight="1" x14ac:dyDescent="0.2">
      <c r="C33" s="301" t="s">
        <v>22</v>
      </c>
      <c r="D33" s="302">
        <v>7.2</v>
      </c>
      <c r="E33" s="302">
        <v>7.1</v>
      </c>
      <c r="F33" s="302">
        <v>6.8</v>
      </c>
      <c r="G33" s="302">
        <v>6</v>
      </c>
      <c r="H33" s="302">
        <v>6.5</v>
      </c>
      <c r="I33" s="302">
        <v>6.5</v>
      </c>
      <c r="J33" s="302">
        <v>6.4</v>
      </c>
      <c r="K33" s="762">
        <v>6.3</v>
      </c>
    </row>
    <row r="34" spans="2:11" ht="12.75" customHeight="1" x14ac:dyDescent="0.2">
      <c r="C34" s="303" t="s">
        <v>20</v>
      </c>
      <c r="D34" s="302">
        <v>12.7</v>
      </c>
      <c r="E34" s="302">
        <v>12.7</v>
      </c>
      <c r="F34" s="302">
        <v>12.5</v>
      </c>
      <c r="G34" s="302">
        <v>11.2</v>
      </c>
      <c r="H34" s="302">
        <v>12.3</v>
      </c>
      <c r="I34" s="302">
        <v>12.2</v>
      </c>
      <c r="J34" s="302">
        <v>12.1</v>
      </c>
      <c r="K34" s="762">
        <v>11.8</v>
      </c>
    </row>
    <row r="35" spans="2:11" ht="12.75" customHeight="1" x14ac:dyDescent="0.2">
      <c r="C35" s="303" t="s">
        <v>170</v>
      </c>
      <c r="D35" s="302">
        <v>3</v>
      </c>
      <c r="E35" s="302">
        <v>3</v>
      </c>
      <c r="F35" s="302">
        <v>2.7</v>
      </c>
      <c r="G35" s="302">
        <v>2.5</v>
      </c>
      <c r="H35" s="302">
        <v>2.6</v>
      </c>
      <c r="I35" s="302">
        <v>2.6</v>
      </c>
      <c r="J35" s="302">
        <v>2.6</v>
      </c>
      <c r="K35" s="762">
        <v>2.6</v>
      </c>
    </row>
    <row r="36" spans="2:11" ht="3.95" customHeight="1" x14ac:dyDescent="0.2">
      <c r="C36" s="303"/>
      <c r="D36" s="302"/>
      <c r="E36" s="302"/>
      <c r="F36" s="302"/>
      <c r="G36" s="302"/>
      <c r="H36" s="302"/>
      <c r="I36" s="302"/>
      <c r="J36" s="302"/>
      <c r="K36" s="762"/>
    </row>
    <row r="37" spans="2:11" ht="12.75" customHeight="1" x14ac:dyDescent="0.2">
      <c r="B37" s="45" t="s">
        <v>16</v>
      </c>
      <c r="C37" s="45"/>
      <c r="D37" s="304"/>
      <c r="E37" s="304"/>
      <c r="F37" s="304"/>
      <c r="G37" s="304"/>
      <c r="H37" s="305"/>
      <c r="I37" s="305"/>
      <c r="J37" s="305"/>
      <c r="K37" s="763"/>
    </row>
    <row r="38" spans="2:11" ht="12.75" customHeight="1" x14ac:dyDescent="0.2">
      <c r="C38" s="248" t="s">
        <v>189</v>
      </c>
      <c r="D38" s="304"/>
      <c r="E38" s="304"/>
      <c r="F38" s="304"/>
      <c r="G38" s="304"/>
      <c r="H38" s="305"/>
      <c r="I38" s="305"/>
      <c r="J38" s="305"/>
      <c r="K38" s="763"/>
    </row>
    <row r="39" spans="2:11" ht="12.75" customHeight="1" x14ac:dyDescent="0.2">
      <c r="C39" s="301" t="s">
        <v>22</v>
      </c>
      <c r="D39" s="226">
        <v>174</v>
      </c>
      <c r="E39" s="226">
        <v>169</v>
      </c>
      <c r="F39" s="226">
        <v>176</v>
      </c>
      <c r="G39" s="226">
        <v>187</v>
      </c>
      <c r="H39" s="226">
        <v>196</v>
      </c>
      <c r="I39" s="226">
        <v>191</v>
      </c>
      <c r="J39" s="226">
        <v>193</v>
      </c>
      <c r="K39" s="759">
        <v>192</v>
      </c>
    </row>
    <row r="40" spans="2:11" ht="12.75" customHeight="1" x14ac:dyDescent="0.2">
      <c r="C40" s="303" t="s">
        <v>20</v>
      </c>
      <c r="D40" s="226">
        <v>715</v>
      </c>
      <c r="E40" s="226">
        <v>691</v>
      </c>
      <c r="F40" s="226">
        <v>700</v>
      </c>
      <c r="G40" s="226">
        <v>681</v>
      </c>
      <c r="H40" s="226">
        <v>786</v>
      </c>
      <c r="I40" s="226">
        <v>762</v>
      </c>
      <c r="J40" s="226">
        <v>746</v>
      </c>
      <c r="K40" s="759">
        <v>724</v>
      </c>
    </row>
    <row r="41" spans="2:11" ht="12.75" customHeight="1" x14ac:dyDescent="0.2">
      <c r="C41" s="303" t="s">
        <v>170</v>
      </c>
      <c r="D41" s="226">
        <v>146</v>
      </c>
      <c r="E41" s="226">
        <v>141</v>
      </c>
      <c r="F41" s="226">
        <v>146</v>
      </c>
      <c r="G41" s="226">
        <v>158</v>
      </c>
      <c r="H41" s="226">
        <v>161</v>
      </c>
      <c r="I41" s="226">
        <v>155</v>
      </c>
      <c r="J41" s="226">
        <v>156</v>
      </c>
      <c r="K41" s="759">
        <v>156</v>
      </c>
    </row>
    <row r="42" spans="2:11" ht="12.75" customHeight="1" x14ac:dyDescent="0.2">
      <c r="B42" s="21"/>
      <c r="C42" s="248" t="s">
        <v>294</v>
      </c>
      <c r="D42" s="302"/>
      <c r="E42" s="302"/>
      <c r="F42" s="302"/>
      <c r="G42" s="302"/>
      <c r="H42" s="302"/>
      <c r="I42" s="302"/>
      <c r="J42" s="302"/>
      <c r="K42" s="762"/>
    </row>
    <row r="43" spans="2:11" ht="12.75" customHeight="1" x14ac:dyDescent="0.2">
      <c r="B43" s="21"/>
      <c r="C43" s="301" t="s">
        <v>22</v>
      </c>
      <c r="D43" s="226">
        <v>76</v>
      </c>
      <c r="E43" s="226">
        <v>78</v>
      </c>
      <c r="F43" s="226">
        <v>80</v>
      </c>
      <c r="G43" s="226">
        <v>74</v>
      </c>
      <c r="H43" s="226">
        <v>76</v>
      </c>
      <c r="I43" s="226">
        <v>78</v>
      </c>
      <c r="J43" s="226">
        <v>79</v>
      </c>
      <c r="K43" s="759">
        <v>71</v>
      </c>
    </row>
    <row r="44" spans="2:11" ht="12.75" customHeight="1" x14ac:dyDescent="0.2">
      <c r="B44" s="21"/>
      <c r="C44" s="303" t="s">
        <v>20</v>
      </c>
      <c r="D44" s="226">
        <v>335</v>
      </c>
      <c r="E44" s="226">
        <v>334</v>
      </c>
      <c r="F44" s="226">
        <v>333</v>
      </c>
      <c r="G44" s="226">
        <v>317</v>
      </c>
      <c r="H44" s="226">
        <v>385</v>
      </c>
      <c r="I44" s="226">
        <v>398</v>
      </c>
      <c r="J44" s="226">
        <v>390</v>
      </c>
      <c r="K44" s="759">
        <v>375</v>
      </c>
    </row>
    <row r="45" spans="2:11" ht="12.75" customHeight="1" x14ac:dyDescent="0.2">
      <c r="B45" s="21"/>
      <c r="C45" s="303" t="s">
        <v>170</v>
      </c>
      <c r="D45" s="226">
        <v>46</v>
      </c>
      <c r="E45" s="226">
        <v>49</v>
      </c>
      <c r="F45" s="226">
        <v>51</v>
      </c>
      <c r="G45" s="226">
        <v>46</v>
      </c>
      <c r="H45" s="226">
        <v>48</v>
      </c>
      <c r="I45" s="226">
        <v>49</v>
      </c>
      <c r="J45" s="226">
        <v>51</v>
      </c>
      <c r="K45" s="759">
        <v>45</v>
      </c>
    </row>
    <row r="46" spans="2:11" ht="12.75" customHeight="1" x14ac:dyDescent="0.2">
      <c r="C46" s="45" t="s">
        <v>183</v>
      </c>
      <c r="D46" s="304"/>
      <c r="E46" s="302"/>
      <c r="F46" s="302"/>
      <c r="G46" s="302"/>
      <c r="H46" s="302"/>
      <c r="I46" s="302"/>
      <c r="J46" s="302"/>
      <c r="K46" s="762"/>
    </row>
    <row r="47" spans="2:11" ht="12.75" customHeight="1" x14ac:dyDescent="0.2">
      <c r="C47" s="301" t="s">
        <v>22</v>
      </c>
      <c r="D47" s="302">
        <v>20.5</v>
      </c>
      <c r="E47" s="302">
        <v>21.6</v>
      </c>
      <c r="F47" s="302">
        <v>21.5</v>
      </c>
      <c r="G47" s="302">
        <v>20.8</v>
      </c>
      <c r="H47" s="302">
        <v>22.1</v>
      </c>
      <c r="I47" s="302">
        <v>21.3</v>
      </c>
      <c r="J47" s="302">
        <v>21.1</v>
      </c>
      <c r="K47" s="762">
        <v>21.1</v>
      </c>
    </row>
    <row r="48" spans="2:11" ht="12.75" customHeight="1" x14ac:dyDescent="0.2">
      <c r="C48" s="303" t="s">
        <v>20</v>
      </c>
      <c r="D48" s="302">
        <v>37</v>
      </c>
      <c r="E48" s="302">
        <v>38.1</v>
      </c>
      <c r="F48" s="302">
        <v>37.200000000000003</v>
      </c>
      <c r="G48" s="302">
        <v>36.6</v>
      </c>
      <c r="H48" s="302">
        <v>37.6</v>
      </c>
      <c r="I48" s="302">
        <v>36.200000000000003</v>
      </c>
      <c r="J48" s="302">
        <v>36.1</v>
      </c>
      <c r="K48" s="762">
        <v>36.700000000000003</v>
      </c>
    </row>
    <row r="49" spans="2:11" ht="12.75" customHeight="1" x14ac:dyDescent="0.2">
      <c r="C49" s="303" t="s">
        <v>170</v>
      </c>
      <c r="D49" s="302">
        <v>12.1</v>
      </c>
      <c r="E49" s="302">
        <v>13.1</v>
      </c>
      <c r="F49" s="302">
        <v>13.1</v>
      </c>
      <c r="G49" s="302">
        <v>12.2</v>
      </c>
      <c r="H49" s="302">
        <v>13.4</v>
      </c>
      <c r="I49" s="302">
        <v>12.9</v>
      </c>
      <c r="J49" s="302">
        <v>12.4</v>
      </c>
      <c r="K49" s="762">
        <v>11.9</v>
      </c>
    </row>
    <row r="50" spans="2:11" ht="12.75" customHeight="1" x14ac:dyDescent="0.2">
      <c r="C50" s="45" t="s">
        <v>190</v>
      </c>
      <c r="D50" s="304"/>
      <c r="E50" s="304"/>
      <c r="F50" s="304"/>
      <c r="G50" s="304"/>
      <c r="H50" s="305"/>
      <c r="I50" s="305"/>
      <c r="J50" s="305"/>
      <c r="K50" s="763"/>
    </row>
    <row r="51" spans="2:11" ht="12.75" customHeight="1" x14ac:dyDescent="0.2">
      <c r="C51" s="301" t="s">
        <v>22</v>
      </c>
      <c r="D51" s="302">
        <v>24.7</v>
      </c>
      <c r="E51" s="302">
        <v>25.3</v>
      </c>
      <c r="F51" s="302">
        <v>24.3</v>
      </c>
      <c r="G51" s="302">
        <v>23.7</v>
      </c>
      <c r="H51" s="302">
        <v>25.6</v>
      </c>
      <c r="I51" s="302">
        <v>23.6</v>
      </c>
      <c r="J51" s="302">
        <v>23.2</v>
      </c>
      <c r="K51" s="762">
        <v>22.5</v>
      </c>
    </row>
    <row r="52" spans="2:11" ht="12.75" customHeight="1" x14ac:dyDescent="0.2">
      <c r="C52" s="303" t="s">
        <v>20</v>
      </c>
      <c r="D52" s="302">
        <v>131.9</v>
      </c>
      <c r="E52" s="302">
        <v>121.3</v>
      </c>
      <c r="F52" s="302">
        <v>102.5</v>
      </c>
      <c r="G52" s="302">
        <v>95.2</v>
      </c>
      <c r="H52" s="302">
        <v>90.7</v>
      </c>
      <c r="I52" s="302">
        <v>84.9</v>
      </c>
      <c r="J52" s="302">
        <v>80.900000000000006</v>
      </c>
      <c r="K52" s="762">
        <v>76.099999999999994</v>
      </c>
    </row>
    <row r="53" spans="2:11" ht="12.75" customHeight="1" x14ac:dyDescent="0.2">
      <c r="C53" s="303" t="s">
        <v>170</v>
      </c>
      <c r="D53" s="302">
        <v>19.5</v>
      </c>
      <c r="E53" s="302">
        <v>19.899999999999999</v>
      </c>
      <c r="F53" s="302">
        <v>18.899999999999999</v>
      </c>
      <c r="G53" s="302">
        <v>18.100000000000001</v>
      </c>
      <c r="H53" s="302">
        <v>19.5</v>
      </c>
      <c r="I53" s="305">
        <v>17.600000000000001</v>
      </c>
      <c r="J53" s="305">
        <v>17</v>
      </c>
      <c r="K53" s="762">
        <v>15.9</v>
      </c>
    </row>
    <row r="54" spans="2:11" ht="3.95" customHeight="1" x14ac:dyDescent="0.2">
      <c r="B54" s="21"/>
      <c r="C54" s="303"/>
      <c r="D54" s="302"/>
      <c r="E54" s="302"/>
      <c r="F54" s="302"/>
      <c r="G54" s="302"/>
      <c r="H54" s="302"/>
      <c r="I54" s="305"/>
      <c r="J54" s="305"/>
      <c r="K54" s="305"/>
    </row>
    <row r="55" spans="2:11" ht="3.75" customHeight="1" x14ac:dyDescent="0.2">
      <c r="B55" s="21"/>
      <c r="C55" s="303"/>
      <c r="D55" s="306"/>
      <c r="E55" s="306"/>
      <c r="F55" s="306"/>
      <c r="G55" s="306"/>
      <c r="H55" s="306"/>
      <c r="I55" s="305"/>
      <c r="J55" s="305"/>
      <c r="K55" s="305"/>
    </row>
    <row r="56" spans="2:11" ht="14.25" customHeight="1" x14ac:dyDescent="0.2">
      <c r="B56" s="21"/>
      <c r="C56" s="303"/>
      <c r="D56" s="307"/>
      <c r="E56" s="307"/>
      <c r="F56" s="307"/>
      <c r="G56" s="307"/>
      <c r="H56" s="307"/>
      <c r="I56" s="307"/>
      <c r="J56" s="307"/>
      <c r="K56" s="308"/>
    </row>
    <row r="57" spans="2:11" ht="12.75" customHeight="1" x14ac:dyDescent="0.2">
      <c r="B57" s="10" t="s">
        <v>40</v>
      </c>
      <c r="D57" s="309"/>
      <c r="E57" s="309"/>
      <c r="F57" s="309"/>
      <c r="G57" s="309"/>
      <c r="H57" s="309"/>
      <c r="I57" s="309"/>
      <c r="J57" s="309"/>
      <c r="K57" s="310"/>
    </row>
    <row r="58" spans="2:11" ht="12.75" customHeight="1" x14ac:dyDescent="0.2">
      <c r="B58" s="63" t="s">
        <v>41</v>
      </c>
      <c r="C58" s="240" t="s">
        <v>164</v>
      </c>
    </row>
  </sheetData>
  <sheetProtection formatCells="0" formatColumns="0" formatRows="0" sort="0" autoFilter="0" pivotTables="0"/>
  <mergeCells count="1">
    <mergeCell ref="D1:K1"/>
  </mergeCells>
  <conditionalFormatting sqref="V125:V126 K125:K126 E126:J127 D125:D126 D56:K56 V54:V56">
    <cfRule type="cellIs" dxfId="4"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9" orientation="portrait" horizontalDpi="300" verticalDpi="300"/>
  <headerFooter alignWithMargins="0">
    <oddHeader>&amp;L&amp;"Vodafone Rg,Regular"Vodafone Group Plc&amp;C&amp;"Vodafone Rg,Regular"11 ARPU</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U161"/>
  <sheetViews>
    <sheetView showGridLines="0" zoomScale="70" zoomScaleNormal="70" workbookViewId="0"/>
  </sheetViews>
  <sheetFormatPr defaultRowHeight="12.75" x14ac:dyDescent="0.2"/>
  <cols>
    <col min="1" max="1" width="5.42578125" style="65" customWidth="1"/>
    <col min="2" max="2" width="4.28515625" style="21" customWidth="1"/>
    <col min="3" max="3" width="21.7109375" style="65" customWidth="1"/>
    <col min="4" max="4" width="11.140625" style="242" customWidth="1"/>
    <col min="5" max="5" width="10.28515625" style="65" customWidth="1"/>
    <col min="6" max="6" width="11.140625" style="242" customWidth="1"/>
    <col min="7" max="8" width="10.28515625" style="65" customWidth="1"/>
    <col min="9" max="11" width="10.28515625" style="45" customWidth="1"/>
    <col min="12" max="12" width="10.28515625" style="82" customWidth="1"/>
    <col min="13" max="14" width="10.28515625" style="65" customWidth="1"/>
    <col min="15" max="15" width="8.42578125" style="65" customWidth="1"/>
    <col min="16" max="21" width="10.28515625" style="242" customWidth="1"/>
    <col min="22" max="37" width="9.140625" style="65" customWidth="1"/>
    <col min="38" max="256" width="11.42578125" style="65" customWidth="1"/>
    <col min="257" max="16384" width="9.140625" style="65"/>
  </cols>
  <sheetData>
    <row r="1" spans="1:20" ht="12.75" customHeight="1" x14ac:dyDescent="0.2">
      <c r="A1" s="688" t="s">
        <v>414</v>
      </c>
      <c r="B1" s="13"/>
      <c r="D1" s="853" t="s">
        <v>279</v>
      </c>
      <c r="E1" s="853"/>
      <c r="F1" s="853"/>
      <c r="G1" s="853"/>
      <c r="H1" s="853"/>
      <c r="I1" s="853"/>
      <c r="J1" s="863"/>
      <c r="K1" s="863"/>
      <c r="L1" s="311"/>
      <c r="M1" s="853" t="s">
        <v>280</v>
      </c>
      <c r="N1" s="853"/>
      <c r="O1" s="853"/>
      <c r="P1" s="853"/>
      <c r="Q1" s="853"/>
      <c r="R1" s="853"/>
      <c r="S1" s="853"/>
      <c r="T1" s="853"/>
    </row>
    <row r="2" spans="1:20" s="195" customFormat="1" ht="12.75" customHeight="1" x14ac:dyDescent="0.2">
      <c r="B2" s="196"/>
      <c r="D2" s="15" t="s">
        <v>8</v>
      </c>
      <c r="E2" s="15" t="s">
        <v>9</v>
      </c>
      <c r="F2" s="15" t="s">
        <v>10</v>
      </c>
      <c r="G2" s="201" t="s">
        <v>11</v>
      </c>
      <c r="H2" s="201" t="s">
        <v>12</v>
      </c>
      <c r="I2" s="201" t="s">
        <v>13</v>
      </c>
      <c r="J2" s="252" t="s">
        <v>296</v>
      </c>
      <c r="K2" s="385" t="s">
        <v>402</v>
      </c>
      <c r="L2" s="252"/>
      <c r="M2" s="15" t="s">
        <v>8</v>
      </c>
      <c r="N2" s="15" t="s">
        <v>9</v>
      </c>
      <c r="O2" s="15" t="s">
        <v>10</v>
      </c>
      <c r="P2" s="201" t="s">
        <v>11</v>
      </c>
      <c r="Q2" s="201" t="s">
        <v>12</v>
      </c>
      <c r="R2" s="201" t="s">
        <v>13</v>
      </c>
      <c r="S2" s="252" t="s">
        <v>296</v>
      </c>
      <c r="T2" s="385" t="s">
        <v>402</v>
      </c>
    </row>
    <row r="3" spans="1:20" ht="12.75" customHeight="1" x14ac:dyDescent="0.2">
      <c r="D3" s="194"/>
      <c r="E3" s="194"/>
      <c r="F3" s="194"/>
      <c r="G3" s="194"/>
      <c r="H3" s="69"/>
      <c r="I3" s="261"/>
      <c r="J3" s="261"/>
      <c r="K3" s="760"/>
      <c r="L3" s="261"/>
      <c r="M3" s="194"/>
      <c r="N3" s="194"/>
      <c r="O3" s="194"/>
      <c r="P3" s="194"/>
      <c r="Q3" s="69"/>
      <c r="R3" s="69"/>
      <c r="S3" s="69"/>
      <c r="T3" s="760"/>
    </row>
    <row r="4" spans="1:20" s="10" customFormat="1" ht="12.75" customHeight="1" x14ac:dyDescent="0.2">
      <c r="B4" s="10" t="s">
        <v>29</v>
      </c>
      <c r="D4" s="312">
        <v>0.25600000000000001</v>
      </c>
      <c r="E4" s="312">
        <v>0.28199999999999997</v>
      </c>
      <c r="F4" s="312">
        <v>0.315</v>
      </c>
      <c r="G4" s="313">
        <v>0.34699999999999998</v>
      </c>
      <c r="H4" s="313">
        <v>0.375</v>
      </c>
      <c r="I4" s="313">
        <v>0.4</v>
      </c>
      <c r="J4" s="313">
        <v>0.41899999999999998</v>
      </c>
      <c r="K4" s="764">
        <v>0.437</v>
      </c>
      <c r="L4" s="314"/>
      <c r="M4" s="315">
        <v>0.67800000000000005</v>
      </c>
      <c r="N4" s="315">
        <v>0.68100000000000005</v>
      </c>
      <c r="O4" s="315">
        <v>0.69099999999999995</v>
      </c>
      <c r="P4" s="111">
        <v>0.69399999999999995</v>
      </c>
      <c r="Q4" s="111">
        <v>0.68700000000000006</v>
      </c>
      <c r="R4" s="313">
        <v>0.71399999999999997</v>
      </c>
      <c r="S4" s="313">
        <v>0.71</v>
      </c>
      <c r="T4" s="764">
        <v>0.70599999999999996</v>
      </c>
    </row>
    <row r="5" spans="1:20" s="10" customFormat="1" ht="12.75" customHeight="1" x14ac:dyDescent="0.2">
      <c r="D5" s="312"/>
      <c r="E5" s="312"/>
      <c r="F5" s="312"/>
      <c r="G5" s="313"/>
      <c r="H5" s="313"/>
      <c r="I5" s="313"/>
      <c r="J5" s="313"/>
      <c r="K5" s="764"/>
      <c r="L5" s="314"/>
      <c r="M5" s="315"/>
      <c r="N5" s="315"/>
      <c r="O5" s="315"/>
      <c r="P5" s="111"/>
      <c r="Q5" s="111"/>
      <c r="R5" s="313"/>
      <c r="S5" s="313"/>
      <c r="T5" s="764"/>
    </row>
    <row r="6" spans="1:20" s="10" customFormat="1" ht="12.75" customHeight="1" x14ac:dyDescent="0.2">
      <c r="B6" s="10" t="s">
        <v>281</v>
      </c>
      <c r="D6" s="312">
        <v>0.26800000000000002</v>
      </c>
      <c r="E6" s="312">
        <v>0.28199999999999997</v>
      </c>
      <c r="F6" s="312">
        <v>0.29899999999999999</v>
      </c>
      <c r="G6" s="313">
        <v>0.313</v>
      </c>
      <c r="H6" s="313">
        <v>0.32800000000000001</v>
      </c>
      <c r="I6" s="313">
        <v>0.35199999999999998</v>
      </c>
      <c r="J6" s="313">
        <v>0.35899999999999999</v>
      </c>
      <c r="K6" s="764">
        <v>0.38900000000000001</v>
      </c>
      <c r="L6" s="314"/>
      <c r="M6" s="315">
        <v>0.53600000000000003</v>
      </c>
      <c r="N6" s="315">
        <v>0.54900000000000004</v>
      </c>
      <c r="O6" s="315">
        <v>0.56699999999999995</v>
      </c>
      <c r="P6" s="111">
        <v>0.57399999999999995</v>
      </c>
      <c r="Q6" s="111">
        <v>0.60599999999999998</v>
      </c>
      <c r="R6" s="313">
        <v>0.63600000000000001</v>
      </c>
      <c r="S6" s="313">
        <v>0.69</v>
      </c>
      <c r="T6" s="764">
        <v>0.69299999999999995</v>
      </c>
    </row>
    <row r="7" spans="1:20" s="10" customFormat="1" x14ac:dyDescent="0.2">
      <c r="D7" s="312"/>
      <c r="E7" s="313"/>
      <c r="F7" s="312"/>
      <c r="G7" s="312"/>
      <c r="H7" s="312"/>
      <c r="I7" s="313"/>
      <c r="J7" s="313"/>
      <c r="K7" s="764"/>
      <c r="L7" s="316"/>
      <c r="M7" s="312"/>
      <c r="N7" s="312"/>
      <c r="O7" s="313"/>
      <c r="P7" s="313"/>
      <c r="Q7" s="313"/>
      <c r="R7" s="313"/>
      <c r="S7" s="313"/>
      <c r="T7" s="764"/>
    </row>
    <row r="8" spans="1:20" s="10" customFormat="1" ht="12.75" customHeight="1" x14ac:dyDescent="0.2">
      <c r="B8" s="10" t="s">
        <v>31</v>
      </c>
      <c r="D8" s="312">
        <v>0.46500000000000002</v>
      </c>
      <c r="E8" s="312">
        <v>0.502</v>
      </c>
      <c r="F8" s="312">
        <v>0.53300000000000003</v>
      </c>
      <c r="G8" s="313">
        <v>0.55700000000000005</v>
      </c>
      <c r="H8" s="313">
        <v>0.56999999999999995</v>
      </c>
      <c r="I8" s="313">
        <v>0.57899999999999996</v>
      </c>
      <c r="J8" s="313">
        <v>0.60499999999999998</v>
      </c>
      <c r="K8" s="764">
        <v>0.61299999999999999</v>
      </c>
      <c r="L8" s="314"/>
      <c r="M8" s="315">
        <v>0.78</v>
      </c>
      <c r="N8" s="315">
        <v>0.77600000000000002</v>
      </c>
      <c r="O8" s="315">
        <v>0.77200000000000002</v>
      </c>
      <c r="P8" s="111">
        <v>0.77100000000000002</v>
      </c>
      <c r="Q8" s="111">
        <v>0.75900000000000001</v>
      </c>
      <c r="R8" s="313">
        <v>0.75800000000000001</v>
      </c>
      <c r="S8" s="313">
        <v>0.74</v>
      </c>
      <c r="T8" s="764">
        <v>0.73199999999999998</v>
      </c>
    </row>
    <row r="9" spans="1:20" s="10" customFormat="1" ht="12.75" customHeight="1" x14ac:dyDescent="0.2">
      <c r="D9" s="312"/>
      <c r="E9" s="312"/>
      <c r="F9" s="312"/>
      <c r="G9" s="313"/>
      <c r="H9" s="313"/>
      <c r="I9" s="313"/>
      <c r="J9" s="313"/>
      <c r="K9" s="764"/>
      <c r="L9" s="314"/>
      <c r="M9" s="315"/>
      <c r="N9" s="315"/>
      <c r="O9" s="315"/>
      <c r="P9" s="111"/>
      <c r="Q9" s="111"/>
      <c r="R9" s="313"/>
      <c r="S9" s="313"/>
      <c r="T9" s="764"/>
    </row>
    <row r="10" spans="1:20" s="10" customFormat="1" ht="12.75" customHeight="1" x14ac:dyDescent="0.2">
      <c r="B10" s="10" t="s">
        <v>36</v>
      </c>
      <c r="D10" s="312">
        <v>0.40600000000000003</v>
      </c>
      <c r="E10" s="312">
        <v>0.437</v>
      </c>
      <c r="F10" s="312">
        <v>0.47299999999999998</v>
      </c>
      <c r="G10" s="313">
        <v>0.52600000000000002</v>
      </c>
      <c r="H10" s="313">
        <v>0.55000000000000004</v>
      </c>
      <c r="I10" s="313">
        <v>0.57299999999999995</v>
      </c>
      <c r="J10" s="313">
        <v>0.60499999999999998</v>
      </c>
      <c r="K10" s="764">
        <v>0.61699999999999999</v>
      </c>
      <c r="L10" s="314"/>
      <c r="M10" s="315">
        <v>0.60499999999999998</v>
      </c>
      <c r="N10" s="315">
        <v>0.625</v>
      </c>
      <c r="O10" s="315">
        <v>0.66100000000000003</v>
      </c>
      <c r="P10" s="111">
        <v>0.746</v>
      </c>
      <c r="Q10" s="111">
        <v>0.77300000000000002</v>
      </c>
      <c r="R10" s="313">
        <v>0.80700000000000005</v>
      </c>
      <c r="S10" s="313">
        <v>0.83599999999999997</v>
      </c>
      <c r="T10" s="764">
        <v>0.85199999999999998</v>
      </c>
    </row>
    <row r="11" spans="1:20" s="10" customFormat="1" ht="12.75" customHeight="1" x14ac:dyDescent="0.2">
      <c r="D11" s="312"/>
      <c r="E11" s="312"/>
      <c r="F11" s="312"/>
      <c r="G11" s="313"/>
      <c r="H11" s="313"/>
      <c r="I11" s="313"/>
      <c r="J11" s="313"/>
      <c r="K11" s="764"/>
      <c r="L11" s="314"/>
      <c r="M11" s="315"/>
      <c r="N11" s="315"/>
      <c r="O11" s="315"/>
      <c r="P11" s="111"/>
      <c r="Q11" s="111"/>
      <c r="R11" s="313"/>
      <c r="S11" s="313"/>
      <c r="T11" s="764"/>
    </row>
    <row r="12" spans="1:20" s="10" customFormat="1" ht="12.75" customHeight="1" x14ac:dyDescent="0.2">
      <c r="B12" s="10" t="s">
        <v>147</v>
      </c>
      <c r="D12" s="312">
        <v>0.51200000000000001</v>
      </c>
      <c r="E12" s="312">
        <v>0.54400000000000004</v>
      </c>
      <c r="F12" s="312">
        <v>0.56899999999999995</v>
      </c>
      <c r="G12" s="313">
        <v>0.58399999999999996</v>
      </c>
      <c r="H12" s="313">
        <v>0.59</v>
      </c>
      <c r="I12" s="313">
        <v>0.59499999999999997</v>
      </c>
      <c r="J12" s="313">
        <v>0.59599999999999997</v>
      </c>
      <c r="K12" s="764">
        <v>0.60399999999999998</v>
      </c>
      <c r="L12" s="314"/>
      <c r="M12" s="315">
        <v>0.749</v>
      </c>
      <c r="N12" s="315">
        <v>0.74199999999999999</v>
      </c>
      <c r="O12" s="315">
        <v>0.73399999999999999</v>
      </c>
      <c r="P12" s="111">
        <v>0.72499999999999998</v>
      </c>
      <c r="Q12" s="111">
        <v>0.68400000000000005</v>
      </c>
      <c r="R12" s="313">
        <v>0.67900000000000005</v>
      </c>
      <c r="S12" s="313">
        <v>0.70799999999999996</v>
      </c>
      <c r="T12" s="764">
        <v>0.71499999999999997</v>
      </c>
    </row>
    <row r="13" spans="1:20" s="10" customFormat="1" ht="12.75" customHeight="1" x14ac:dyDescent="0.2">
      <c r="D13" s="312"/>
      <c r="E13" s="312"/>
      <c r="F13" s="312"/>
      <c r="G13" s="313"/>
      <c r="H13" s="313"/>
      <c r="I13" s="313"/>
      <c r="J13" s="313"/>
      <c r="K13" s="764"/>
      <c r="L13" s="314"/>
      <c r="M13" s="315"/>
      <c r="N13" s="315"/>
      <c r="O13" s="315"/>
      <c r="P13" s="111"/>
      <c r="Q13" s="111"/>
      <c r="R13" s="313"/>
      <c r="S13" s="313"/>
      <c r="T13" s="764"/>
    </row>
    <row r="14" spans="1:20" s="10" customFormat="1" ht="12.75" customHeight="1" x14ac:dyDescent="0.2">
      <c r="B14" s="10" t="s">
        <v>153</v>
      </c>
      <c r="D14" s="312">
        <v>0.246</v>
      </c>
      <c r="E14" s="312">
        <v>0.26700000000000002</v>
      </c>
      <c r="F14" s="312">
        <v>0.28399999999999997</v>
      </c>
      <c r="G14" s="312">
        <v>0.3</v>
      </c>
      <c r="H14" s="312">
        <v>0.31830000000000003</v>
      </c>
      <c r="I14" s="313">
        <v>0.33600000000000002</v>
      </c>
      <c r="J14" s="313">
        <v>0.372</v>
      </c>
      <c r="K14" s="764">
        <v>0.39200000000000002</v>
      </c>
      <c r="L14" s="314"/>
      <c r="M14" s="315">
        <v>0.58199999999999996</v>
      </c>
      <c r="N14" s="315">
        <v>0.59799999999999998</v>
      </c>
      <c r="O14" s="315">
        <v>0.64200000000000002</v>
      </c>
      <c r="P14" s="111">
        <v>0.64200000000000002</v>
      </c>
      <c r="Q14" s="111">
        <v>0.66</v>
      </c>
      <c r="R14" s="313">
        <v>0.69699999999999995</v>
      </c>
      <c r="S14" s="313">
        <v>0.71</v>
      </c>
      <c r="T14" s="764">
        <v>0.70399999999999996</v>
      </c>
    </row>
    <row r="15" spans="1:20" s="10" customFormat="1" ht="12.75" customHeight="1" x14ac:dyDescent="0.2">
      <c r="D15" s="312"/>
      <c r="E15" s="312"/>
      <c r="F15" s="312"/>
      <c r="G15" s="312"/>
      <c r="H15" s="312"/>
      <c r="I15" s="312"/>
      <c r="J15" s="313"/>
      <c r="K15" s="764"/>
      <c r="L15" s="316"/>
      <c r="M15" s="315"/>
      <c r="N15" s="315"/>
      <c r="O15" s="315"/>
      <c r="P15" s="111"/>
      <c r="Q15" s="111"/>
      <c r="R15" s="312"/>
      <c r="S15" s="313"/>
      <c r="T15" s="764"/>
    </row>
    <row r="16" spans="1:20" s="10" customFormat="1" ht="12.75" customHeight="1" x14ac:dyDescent="0.2">
      <c r="B16" s="10" t="s">
        <v>152</v>
      </c>
      <c r="D16" s="312">
        <v>0.17899999999999999</v>
      </c>
      <c r="E16" s="312">
        <v>0.193</v>
      </c>
      <c r="F16" s="312">
        <v>0.20699999999999999</v>
      </c>
      <c r="G16" s="313">
        <v>0.218</v>
      </c>
      <c r="H16" s="313">
        <v>0.22700000000000001</v>
      </c>
      <c r="I16" s="313">
        <v>0.24399999999999999</v>
      </c>
      <c r="J16" s="313">
        <v>0.246</v>
      </c>
      <c r="K16" s="764">
        <v>0.245</v>
      </c>
      <c r="L16" s="314"/>
      <c r="M16" s="315">
        <v>0.433</v>
      </c>
      <c r="N16" s="315">
        <v>0.45900000000000002</v>
      </c>
      <c r="O16" s="315">
        <v>0.504</v>
      </c>
      <c r="P16" s="111">
        <v>0.52</v>
      </c>
      <c r="Q16" s="111">
        <v>0.53600000000000003</v>
      </c>
      <c r="R16" s="313">
        <v>0.54100000000000004</v>
      </c>
      <c r="S16" s="313">
        <v>0.54</v>
      </c>
      <c r="T16" s="764">
        <v>0.55900000000000005</v>
      </c>
    </row>
    <row r="17" spans="2:21" s="10" customFormat="1" ht="12.75" customHeight="1" x14ac:dyDescent="0.2">
      <c r="D17" s="312"/>
      <c r="E17" s="312"/>
      <c r="F17" s="312"/>
      <c r="G17" s="313"/>
      <c r="H17" s="313"/>
      <c r="I17" s="313"/>
      <c r="J17" s="313"/>
      <c r="K17" s="764"/>
      <c r="L17" s="314"/>
      <c r="M17" s="315"/>
      <c r="N17" s="315"/>
      <c r="O17" s="315"/>
      <c r="P17" s="111"/>
      <c r="Q17" s="111"/>
      <c r="R17" s="313"/>
      <c r="S17" s="313"/>
      <c r="T17" s="764"/>
    </row>
    <row r="18" spans="2:21" s="21" customFormat="1" ht="12.75" customHeight="1" x14ac:dyDescent="0.2">
      <c r="B18" s="21" t="s">
        <v>292</v>
      </c>
      <c r="D18" s="391">
        <v>0.30399999999999999</v>
      </c>
      <c r="E18" s="391">
        <v>0.32800000000000001</v>
      </c>
      <c r="F18" s="391">
        <v>0.35399999999999998</v>
      </c>
      <c r="G18" s="392">
        <v>0.378</v>
      </c>
      <c r="H18" s="392">
        <v>0.39500000000000002</v>
      </c>
      <c r="I18" s="392">
        <v>0.41299999999999998</v>
      </c>
      <c r="J18" s="392">
        <v>0.43099999999999999</v>
      </c>
      <c r="K18" s="765">
        <v>0.44600000000000001</v>
      </c>
      <c r="L18" s="393"/>
      <c r="M18" s="394">
        <v>0.65200000000000002</v>
      </c>
      <c r="N18" s="394">
        <v>0.65700000000000003</v>
      </c>
      <c r="O18" s="394">
        <v>0.67400000000000004</v>
      </c>
      <c r="P18" s="220">
        <v>0.69099999999999995</v>
      </c>
      <c r="Q18" s="220">
        <v>0.69899999999999995</v>
      </c>
      <c r="R18" s="392">
        <v>0.70599999999999996</v>
      </c>
      <c r="S18" s="392">
        <v>0.71599999999999997</v>
      </c>
      <c r="T18" s="765">
        <v>0.72899999999999998</v>
      </c>
    </row>
    <row r="19" spans="2:21" s="10" customFormat="1" ht="12.75" customHeight="1" x14ac:dyDescent="0.2">
      <c r="D19" s="312"/>
      <c r="E19" s="312"/>
      <c r="F19" s="312"/>
      <c r="G19" s="313"/>
      <c r="H19" s="313"/>
      <c r="I19" s="313"/>
      <c r="J19" s="313"/>
      <c r="K19" s="764"/>
      <c r="L19" s="314"/>
      <c r="M19" s="315"/>
      <c r="N19" s="315"/>
      <c r="O19" s="315"/>
      <c r="P19" s="111"/>
      <c r="Q19" s="111"/>
      <c r="R19" s="313"/>
      <c r="S19" s="313"/>
      <c r="T19" s="764"/>
    </row>
    <row r="20" spans="2:21" s="10" customFormat="1" ht="12.75" customHeight="1" x14ac:dyDescent="0.2">
      <c r="B20" s="10" t="s">
        <v>148</v>
      </c>
      <c r="D20" s="312">
        <v>0.17799999999999999</v>
      </c>
      <c r="E20" s="312">
        <v>0.17699999999999999</v>
      </c>
      <c r="F20" s="312">
        <v>0.189</v>
      </c>
      <c r="G20" s="313">
        <v>0.222</v>
      </c>
      <c r="H20" s="313">
        <v>0.254</v>
      </c>
      <c r="I20" s="313">
        <v>0.28100000000000003</v>
      </c>
      <c r="J20" s="313">
        <v>0.30099999999999999</v>
      </c>
      <c r="K20" s="764">
        <v>0.33500000000000002</v>
      </c>
      <c r="L20" s="314"/>
      <c r="M20" s="312">
        <v>0.317</v>
      </c>
      <c r="N20" s="312">
        <v>0.38800000000000001</v>
      </c>
      <c r="O20" s="312">
        <v>0.35699999999999998</v>
      </c>
      <c r="P20" s="111">
        <v>0.42199999999999999</v>
      </c>
      <c r="Q20" s="111">
        <v>0.371</v>
      </c>
      <c r="R20" s="313">
        <v>0.36299999999999999</v>
      </c>
      <c r="S20" s="313">
        <v>0.46200000000000002</v>
      </c>
      <c r="T20" s="764">
        <v>0.441</v>
      </c>
      <c r="U20" s="472"/>
    </row>
    <row r="22" spans="2:21" s="10" customFormat="1" ht="12.75" customHeight="1" x14ac:dyDescent="0.2">
      <c r="B22" s="10" t="s">
        <v>40</v>
      </c>
      <c r="D22" s="118"/>
      <c r="E22" s="118"/>
      <c r="F22" s="118"/>
      <c r="G22" s="118"/>
      <c r="H22" s="277"/>
      <c r="I22" s="277"/>
      <c r="J22" s="277"/>
      <c r="K22" s="277"/>
      <c r="L22" s="277"/>
      <c r="M22" s="317"/>
      <c r="N22" s="317"/>
      <c r="O22" s="317"/>
      <c r="P22" s="317"/>
      <c r="Q22" s="318"/>
      <c r="R22" s="318"/>
      <c r="S22" s="318"/>
    </row>
    <row r="23" spans="2:21" s="10" customFormat="1" ht="3" customHeight="1" x14ac:dyDescent="0.2">
      <c r="D23" s="79"/>
      <c r="E23" s="79"/>
      <c r="F23" s="79"/>
      <c r="G23" s="79"/>
      <c r="H23" s="319"/>
      <c r="I23" s="277"/>
      <c r="J23" s="277"/>
      <c r="K23" s="277"/>
      <c r="L23" s="277"/>
      <c r="M23" s="320"/>
      <c r="N23" s="320"/>
      <c r="O23" s="320"/>
      <c r="P23" s="320"/>
      <c r="Q23" s="318"/>
      <c r="R23" s="318"/>
      <c r="S23" s="318"/>
    </row>
    <row r="24" spans="2:21" s="21" customFormat="1" ht="12.75" customHeight="1" x14ac:dyDescent="0.2">
      <c r="B24" s="291">
        <v>1</v>
      </c>
      <c r="C24" s="69" t="s">
        <v>191</v>
      </c>
      <c r="D24" s="321"/>
      <c r="E24" s="321"/>
      <c r="F24" s="321"/>
      <c r="G24" s="321"/>
      <c r="H24" s="321"/>
      <c r="I24" s="322"/>
      <c r="J24" s="322"/>
      <c r="K24" s="322"/>
      <c r="L24" s="322"/>
      <c r="M24" s="317"/>
      <c r="N24" s="317"/>
      <c r="O24" s="318"/>
      <c r="P24" s="318"/>
      <c r="Q24" s="318"/>
      <c r="R24" s="318"/>
      <c r="S24" s="318"/>
    </row>
    <row r="25" spans="2:21" s="10" customFormat="1" ht="12.75" customHeight="1" x14ac:dyDescent="0.2">
      <c r="B25" s="137" t="s">
        <v>43</v>
      </c>
      <c r="C25" s="831" t="s">
        <v>192</v>
      </c>
      <c r="D25" s="862"/>
      <c r="E25" s="862"/>
      <c r="F25" s="862"/>
      <c r="G25" s="862"/>
      <c r="H25" s="862"/>
      <c r="I25" s="862"/>
      <c r="J25" s="862"/>
      <c r="K25" s="862"/>
      <c r="L25" s="862"/>
      <c r="M25" s="862"/>
      <c r="N25" s="862"/>
      <c r="O25" s="177"/>
    </row>
    <row r="26" spans="2:21" s="10" customFormat="1" ht="12.75" customHeight="1" x14ac:dyDescent="0.2">
      <c r="B26" s="291">
        <v>3</v>
      </c>
      <c r="C26" s="240" t="s">
        <v>440</v>
      </c>
      <c r="D26" s="59"/>
      <c r="F26" s="59"/>
      <c r="I26" s="21"/>
      <c r="J26" s="21"/>
      <c r="K26" s="21"/>
      <c r="L26" s="79"/>
      <c r="P26" s="59"/>
      <c r="Q26" s="59"/>
      <c r="R26" s="59"/>
      <c r="S26" s="59"/>
      <c r="T26" s="59"/>
    </row>
    <row r="27" spans="2:21" s="10" customFormat="1" ht="12.75" customHeight="1" x14ac:dyDescent="0.2"/>
    <row r="28" spans="2:21" s="10" customFormat="1" ht="12.75" customHeight="1" x14ac:dyDescent="0.2"/>
    <row r="29" spans="2:21" s="10" customFormat="1" ht="12.75" customHeight="1" x14ac:dyDescent="0.2"/>
    <row r="30" spans="2:21" s="244" customFormat="1" ht="12.75" customHeight="1" x14ac:dyDescent="0.2"/>
    <row r="31" spans="2:21" s="10" customFormat="1" ht="12.75" customHeight="1" x14ac:dyDescent="0.2"/>
    <row r="32" spans="2:21" s="10" customFormat="1" x14ac:dyDescent="0.2"/>
    <row r="33" s="10" customFormat="1" x14ac:dyDescent="0.2"/>
    <row r="34" s="10" customFormat="1" x14ac:dyDescent="0.2"/>
    <row r="35" s="10" customFormat="1" x14ac:dyDescent="0.2"/>
    <row r="36" s="10" customFormat="1" x14ac:dyDescent="0.2"/>
    <row r="37" s="10" customFormat="1" x14ac:dyDescent="0.2"/>
    <row r="38" s="10" customFormat="1" x14ac:dyDescent="0.2"/>
    <row r="39" s="10" customFormat="1" x14ac:dyDescent="0.2"/>
    <row r="40" s="10" customFormat="1" x14ac:dyDescent="0.2"/>
    <row r="41" s="10" customFormat="1" x14ac:dyDescent="0.2"/>
    <row r="42" s="10" customFormat="1" x14ac:dyDescent="0.2"/>
    <row r="43" s="10" customFormat="1" x14ac:dyDescent="0.2"/>
    <row r="44" s="21" customFormat="1" x14ac:dyDescent="0.2"/>
    <row r="45" s="21" customFormat="1" x14ac:dyDescent="0.2"/>
    <row r="46" s="10" customFormat="1" x14ac:dyDescent="0.2"/>
    <row r="47" s="10" customFormat="1" x14ac:dyDescent="0.2"/>
    <row r="48" s="10" customFormat="1" x14ac:dyDescent="0.2"/>
    <row r="49" s="10" customFormat="1" x14ac:dyDescent="0.2"/>
    <row r="50" s="10" customFormat="1" x14ac:dyDescent="0.2"/>
    <row r="51" s="10" customFormat="1" x14ac:dyDescent="0.2"/>
    <row r="52" s="10" customFormat="1" x14ac:dyDescent="0.2"/>
    <row r="53" s="10" customFormat="1" x14ac:dyDescent="0.2"/>
    <row r="54" s="10" customFormat="1" x14ac:dyDescent="0.2"/>
    <row r="55" s="10" customFormat="1" x14ac:dyDescent="0.2"/>
    <row r="56" s="21" customFormat="1" x14ac:dyDescent="0.2"/>
    <row r="57" s="10" customFormat="1" x14ac:dyDescent="0.2"/>
    <row r="58" s="10" customFormat="1" x14ac:dyDescent="0.2"/>
    <row r="59" s="10" customFormat="1" x14ac:dyDescent="0.2"/>
    <row r="60" s="10" customFormat="1" x14ac:dyDescent="0.2"/>
    <row r="61" s="10" customFormat="1" x14ac:dyDescent="0.2"/>
    <row r="62" s="10" customFormat="1" x14ac:dyDescent="0.2"/>
    <row r="63" s="10" customFormat="1" x14ac:dyDescent="0.2"/>
    <row r="64" s="10" customFormat="1" x14ac:dyDescent="0.2"/>
    <row r="65" s="21" customFormat="1" x14ac:dyDescent="0.2"/>
    <row r="66" s="10" customFormat="1" x14ac:dyDescent="0.2"/>
    <row r="67" s="21" customFormat="1" x14ac:dyDescent="0.2"/>
    <row r="68" s="10" customFormat="1" x14ac:dyDescent="0.2"/>
    <row r="69" s="10" customFormat="1" x14ac:dyDescent="0.2"/>
    <row r="70" s="10" customFormat="1" x14ac:dyDescent="0.2"/>
    <row r="71" s="10" customFormat="1" x14ac:dyDescent="0.2"/>
    <row r="72" s="10" customFormat="1" x14ac:dyDescent="0.2"/>
    <row r="73" s="10" customFormat="1" x14ac:dyDescent="0.2"/>
    <row r="74" s="10" customFormat="1" x14ac:dyDescent="0.2"/>
    <row r="75" s="10" customFormat="1" x14ac:dyDescent="0.2"/>
    <row r="76" s="21" customFormat="1" x14ac:dyDescent="0.2"/>
    <row r="77" s="10" customFormat="1" x14ac:dyDescent="0.2"/>
    <row r="78" s="10" customFormat="1" x14ac:dyDescent="0.2"/>
    <row r="79" s="10" customFormat="1" x14ac:dyDescent="0.2"/>
    <row r="80" s="10" customFormat="1" x14ac:dyDescent="0.2"/>
    <row r="81" spans="3:15" s="10" customFormat="1" x14ac:dyDescent="0.2"/>
    <row r="82" spans="3:15" s="21" customFormat="1" x14ac:dyDescent="0.2"/>
    <row r="83" spans="3:15" s="21" customFormat="1" x14ac:dyDescent="0.2"/>
    <row r="84" spans="3:15" s="21" customFormat="1" x14ac:dyDescent="0.2"/>
    <row r="85" spans="3:15" s="10" customFormat="1" x14ac:dyDescent="0.2"/>
    <row r="86" spans="3:15" s="10" customFormat="1" x14ac:dyDescent="0.2"/>
    <row r="87" spans="3:15" s="10" customFormat="1" x14ac:dyDescent="0.2">
      <c r="C87" s="852"/>
      <c r="D87" s="852"/>
      <c r="E87" s="852"/>
      <c r="F87" s="852"/>
      <c r="G87" s="852"/>
      <c r="H87" s="852"/>
      <c r="I87" s="852"/>
      <c r="J87" s="852"/>
      <c r="K87" s="852"/>
      <c r="L87" s="852"/>
      <c r="M87" s="852"/>
      <c r="N87" s="852"/>
      <c r="O87" s="852"/>
    </row>
    <row r="88" spans="3:15" s="10" customFormat="1" x14ac:dyDescent="0.2">
      <c r="C88" s="852"/>
      <c r="D88" s="852"/>
      <c r="E88" s="852"/>
      <c r="F88" s="852"/>
      <c r="G88" s="852"/>
      <c r="H88" s="852"/>
      <c r="I88" s="852"/>
      <c r="J88" s="852"/>
      <c r="K88" s="852"/>
      <c r="L88" s="852"/>
      <c r="M88" s="852"/>
      <c r="N88" s="852"/>
      <c r="O88" s="852"/>
    </row>
    <row r="89" spans="3:15" s="10" customFormat="1" ht="14.25" customHeight="1" x14ac:dyDescent="0.2">
      <c r="C89" s="852"/>
      <c r="D89" s="852"/>
      <c r="E89" s="852"/>
      <c r="F89" s="852"/>
      <c r="G89" s="852"/>
      <c r="H89" s="852"/>
      <c r="I89" s="852"/>
      <c r="J89" s="852"/>
      <c r="K89" s="852"/>
      <c r="L89" s="852"/>
      <c r="M89" s="852"/>
      <c r="N89" s="852"/>
      <c r="O89" s="852"/>
    </row>
    <row r="90" spans="3:15" s="10" customFormat="1" ht="14.25" customHeight="1" x14ac:dyDescent="0.2">
      <c r="C90" s="852"/>
      <c r="D90" s="852"/>
      <c r="E90" s="852"/>
      <c r="F90" s="852"/>
      <c r="G90" s="852"/>
      <c r="H90" s="852"/>
      <c r="I90" s="852"/>
      <c r="J90" s="852"/>
      <c r="K90" s="852"/>
      <c r="L90" s="852"/>
      <c r="M90" s="852"/>
      <c r="N90" s="852"/>
      <c r="O90" s="852"/>
    </row>
    <row r="91" spans="3:15" s="10" customFormat="1" x14ac:dyDescent="0.2"/>
    <row r="92" spans="3:15" s="10" customFormat="1" x14ac:dyDescent="0.2"/>
    <row r="93" spans="3:15" s="10" customFormat="1" x14ac:dyDescent="0.2"/>
    <row r="94" spans="3:15" s="10" customFormat="1" x14ac:dyDescent="0.2"/>
    <row r="95" spans="3:15" s="10" customFormat="1" x14ac:dyDescent="0.2"/>
    <row r="96" spans="3:15" s="10" customFormat="1" x14ac:dyDescent="0.2"/>
    <row r="97" s="10" customFormat="1" x14ac:dyDescent="0.2"/>
    <row r="98" s="10" customFormat="1" x14ac:dyDescent="0.2"/>
    <row r="99" s="10" customFormat="1" x14ac:dyDescent="0.2"/>
    <row r="100" s="10" customFormat="1" x14ac:dyDescent="0.2"/>
    <row r="101" s="10" customFormat="1" x14ac:dyDescent="0.2"/>
    <row r="102" s="10" customFormat="1" x14ac:dyDescent="0.2"/>
    <row r="103" s="10" customFormat="1" x14ac:dyDescent="0.2"/>
    <row r="104" s="10" customFormat="1" x14ac:dyDescent="0.2"/>
    <row r="105" s="10" customFormat="1" x14ac:dyDescent="0.2"/>
    <row r="106" s="10" customFormat="1" x14ac:dyDescent="0.2"/>
    <row r="107" s="10" customFormat="1" x14ac:dyDescent="0.2"/>
    <row r="108" s="10" customFormat="1" x14ac:dyDescent="0.2"/>
    <row r="109" s="10" customFormat="1" x14ac:dyDescent="0.2"/>
    <row r="110" s="10" customFormat="1" x14ac:dyDescent="0.2"/>
    <row r="111" s="10" customFormat="1" x14ac:dyDescent="0.2"/>
    <row r="112" s="10" customFormat="1" x14ac:dyDescent="0.2"/>
    <row r="113" s="10" customFormat="1" x14ac:dyDescent="0.2"/>
    <row r="114" s="10" customFormat="1" x14ac:dyDescent="0.2"/>
    <row r="115" s="10" customFormat="1" x14ac:dyDescent="0.2"/>
    <row r="116" s="10" customFormat="1" x14ac:dyDescent="0.2"/>
    <row r="117" s="10" customFormat="1" x14ac:dyDescent="0.2"/>
    <row r="118" s="10" customFormat="1" x14ac:dyDescent="0.2"/>
    <row r="119" s="10" customFormat="1" x14ac:dyDescent="0.2"/>
    <row r="120" s="10" customFormat="1" x14ac:dyDescent="0.2"/>
    <row r="121" s="10" customFormat="1" x14ac:dyDescent="0.2"/>
    <row r="122" s="10" customFormat="1" x14ac:dyDescent="0.2"/>
    <row r="123" s="10" customFormat="1" x14ac:dyDescent="0.2"/>
    <row r="124" s="10" customFormat="1" x14ac:dyDescent="0.2"/>
    <row r="125" s="10" customFormat="1" x14ac:dyDescent="0.2"/>
    <row r="126" s="10" customFormat="1" x14ac:dyDescent="0.2"/>
    <row r="127" s="10" customFormat="1" x14ac:dyDescent="0.2"/>
    <row r="128" s="10" customFormat="1" x14ac:dyDescent="0.2"/>
    <row r="129" s="10" customFormat="1" x14ac:dyDescent="0.2"/>
    <row r="130" s="10" customFormat="1" x14ac:dyDescent="0.2"/>
    <row r="131" s="10" customFormat="1" x14ac:dyDescent="0.2"/>
    <row r="132" s="10" customFormat="1" x14ac:dyDescent="0.2"/>
    <row r="133" s="10" customFormat="1" x14ac:dyDescent="0.2"/>
    <row r="134" s="10" customFormat="1" x14ac:dyDescent="0.2"/>
    <row r="135" s="10" customFormat="1" x14ac:dyDescent="0.2"/>
    <row r="136" s="10" customFormat="1" x14ac:dyDescent="0.2"/>
    <row r="137" s="10" customFormat="1" x14ac:dyDescent="0.2"/>
    <row r="138" s="10" customFormat="1" x14ac:dyDescent="0.2"/>
    <row r="139" s="10" customFormat="1" x14ac:dyDescent="0.2"/>
    <row r="140" s="10" customFormat="1" x14ac:dyDescent="0.2"/>
    <row r="141" s="10" customFormat="1" x14ac:dyDescent="0.2"/>
    <row r="142" s="10" customFormat="1" x14ac:dyDescent="0.2"/>
    <row r="143" s="10" customFormat="1" x14ac:dyDescent="0.2"/>
    <row r="144" s="10" customFormat="1" x14ac:dyDescent="0.2"/>
    <row r="145" s="10" customFormat="1" x14ac:dyDescent="0.2"/>
    <row r="146" s="10" customFormat="1" x14ac:dyDescent="0.2"/>
    <row r="147" s="10" customFormat="1" x14ac:dyDescent="0.2"/>
    <row r="148" s="10" customFormat="1" x14ac:dyDescent="0.2"/>
    <row r="149" s="10" customFormat="1" x14ac:dyDescent="0.2"/>
    <row r="150" s="10" customFormat="1" x14ac:dyDescent="0.2"/>
    <row r="151" s="10" customFormat="1" x14ac:dyDescent="0.2"/>
    <row r="152" s="10" customFormat="1" x14ac:dyDescent="0.2"/>
    <row r="153" s="10" customFormat="1" x14ac:dyDescent="0.2"/>
    <row r="154" s="10" customFormat="1" x14ac:dyDescent="0.2"/>
    <row r="155" s="10" customFormat="1" x14ac:dyDescent="0.2"/>
    <row r="156" s="10" customFormat="1" x14ac:dyDescent="0.2"/>
    <row r="157" s="10" customFormat="1" x14ac:dyDescent="0.2"/>
    <row r="158" s="10" customFormat="1" x14ac:dyDescent="0.2"/>
    <row r="159" s="10" customFormat="1" x14ac:dyDescent="0.2"/>
    <row r="160" s="10" customFormat="1" x14ac:dyDescent="0.2"/>
    <row r="161" s="10" customFormat="1" x14ac:dyDescent="0.2"/>
  </sheetData>
  <sheetProtection formatCells="0" formatColumns="0" formatRows="0" sort="0" autoFilter="0" pivotTables="0"/>
  <mergeCells count="5">
    <mergeCell ref="M1:T1"/>
    <mergeCell ref="C89:O90"/>
    <mergeCell ref="C87:O88"/>
    <mergeCell ref="C25:N25"/>
    <mergeCell ref="D1:K1"/>
  </mergeCells>
  <conditionalFormatting sqref="E80:G81 D79:D80 H79:L80">
    <cfRule type="cellIs" dxfId="3"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0" orientation="landscape" horizontalDpi="300" verticalDpi="300"/>
  <headerFooter alignWithMargins="0">
    <oddHeader>&amp;L&amp;"Vodafone Rg,Regular"Vodafone Group Plc&amp;C&amp;"Vodafone Rg,Regular"12 Smartphones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D43"/>
  <sheetViews>
    <sheetView showGridLines="0" zoomScale="85" zoomScaleNormal="85" workbookViewId="0"/>
  </sheetViews>
  <sheetFormatPr defaultRowHeight="12.75" x14ac:dyDescent="0.2"/>
  <cols>
    <col min="1" max="1" width="5.42578125" style="65" customWidth="1"/>
    <col min="2" max="2" width="4.28515625" style="45" customWidth="1"/>
    <col min="3" max="3" width="24.140625" style="65" customWidth="1"/>
    <col min="4" max="5" width="11.140625" style="242" customWidth="1"/>
    <col min="6" max="7" width="10.28515625" style="242" customWidth="1"/>
    <col min="8" max="10" width="11.140625" style="242" customWidth="1"/>
    <col min="11" max="11" width="11.140625" style="243" customWidth="1"/>
    <col min="12" max="12" width="4.140625" style="376" customWidth="1"/>
    <col min="13" max="14" width="11.140625" style="242" customWidth="1"/>
    <col min="15" max="16" width="10.28515625" style="242" customWidth="1"/>
    <col min="17" max="19" width="11.140625" style="242" customWidth="1"/>
    <col min="20" max="20" width="11.140625" style="243" customWidth="1"/>
    <col min="21" max="21" width="4.140625" style="376" customWidth="1"/>
    <col min="22" max="22" width="9.85546875" style="242" customWidth="1"/>
    <col min="23" max="25" width="10.28515625" style="242" customWidth="1"/>
    <col min="26" max="26" width="9.85546875" style="242" customWidth="1"/>
    <col min="27" max="29" width="10.28515625" style="242" customWidth="1"/>
    <col min="30" max="31" width="4.140625" style="65" customWidth="1"/>
    <col min="32" max="59" width="9.140625" style="65" customWidth="1"/>
    <col min="60" max="256" width="11.42578125" style="65" customWidth="1"/>
    <col min="257" max="16384" width="9.140625" style="65"/>
  </cols>
  <sheetData>
    <row r="1" spans="1:30" s="10" customFormat="1" ht="13.5" customHeight="1" x14ac:dyDescent="0.2">
      <c r="A1" s="688" t="s">
        <v>414</v>
      </c>
      <c r="B1" s="13"/>
      <c r="D1" s="858" t="s">
        <v>288</v>
      </c>
      <c r="E1" s="858"/>
      <c r="F1" s="858"/>
      <c r="G1" s="858"/>
      <c r="H1" s="858"/>
      <c r="I1" s="858"/>
      <c r="J1" s="858"/>
      <c r="K1" s="858"/>
      <c r="L1" s="262"/>
      <c r="M1" s="858" t="s">
        <v>289</v>
      </c>
      <c r="N1" s="858"/>
      <c r="O1" s="858"/>
      <c r="P1" s="858"/>
      <c r="Q1" s="858"/>
      <c r="R1" s="858"/>
      <c r="S1" s="858"/>
      <c r="T1" s="858"/>
      <c r="U1" s="262"/>
    </row>
    <row r="2" spans="1:30" s="192" customFormat="1" ht="12.75" customHeight="1" x14ac:dyDescent="0.2">
      <c r="B2" s="263"/>
      <c r="D2" s="246" t="s">
        <v>8</v>
      </c>
      <c r="E2" s="246" t="s">
        <v>9</v>
      </c>
      <c r="F2" s="246" t="s">
        <v>10</v>
      </c>
      <c r="G2" s="246" t="s">
        <v>11</v>
      </c>
      <c r="H2" s="201" t="s">
        <v>12</v>
      </c>
      <c r="I2" s="247" t="s">
        <v>13</v>
      </c>
      <c r="J2" s="247" t="s">
        <v>296</v>
      </c>
      <c r="K2" s="385" t="s">
        <v>402</v>
      </c>
      <c r="L2" s="382"/>
      <c r="M2" s="246" t="s">
        <v>8</v>
      </c>
      <c r="N2" s="246" t="s">
        <v>9</v>
      </c>
      <c r="O2" s="246" t="s">
        <v>10</v>
      </c>
      <c r="P2" s="246" t="s">
        <v>11</v>
      </c>
      <c r="Q2" s="201" t="s">
        <v>12</v>
      </c>
      <c r="R2" s="247" t="s">
        <v>13</v>
      </c>
      <c r="S2" s="247" t="s">
        <v>296</v>
      </c>
      <c r="T2" s="385" t="s">
        <v>402</v>
      </c>
      <c r="U2" s="382"/>
    </row>
    <row r="3" spans="1:30" ht="12.75" customHeight="1" x14ac:dyDescent="0.2">
      <c r="B3" s="21" t="s">
        <v>292</v>
      </c>
      <c r="D3" s="323"/>
      <c r="E3" s="267"/>
      <c r="F3" s="267"/>
      <c r="G3" s="267"/>
      <c r="H3" s="267"/>
      <c r="I3" s="267"/>
      <c r="J3" s="267"/>
      <c r="K3" s="386"/>
      <c r="L3" s="262"/>
      <c r="M3" s="323"/>
      <c r="N3" s="267"/>
      <c r="O3" s="267"/>
      <c r="P3" s="267"/>
      <c r="Q3" s="267"/>
      <c r="R3" s="265"/>
      <c r="S3" s="265"/>
      <c r="T3" s="268"/>
      <c r="U3" s="262"/>
    </row>
    <row r="4" spans="1:30" ht="12.75" customHeight="1" x14ac:dyDescent="0.2">
      <c r="B4" s="21"/>
      <c r="C4" s="65" t="s">
        <v>449</v>
      </c>
      <c r="D4" s="228">
        <v>3348</v>
      </c>
      <c r="E4" s="226">
        <v>3280</v>
      </c>
      <c r="F4" s="226">
        <v>3207</v>
      </c>
      <c r="G4" s="228">
        <v>3136</v>
      </c>
      <c r="H4" s="228">
        <v>3077</v>
      </c>
      <c r="I4" s="228">
        <v>3016</v>
      </c>
      <c r="J4" s="228">
        <v>5159</v>
      </c>
      <c r="K4" s="383">
        <v>5221</v>
      </c>
      <c r="L4" s="262"/>
      <c r="M4" s="284">
        <v>-44</v>
      </c>
      <c r="N4" s="281">
        <v>-68</v>
      </c>
      <c r="O4" s="284">
        <v>-73</v>
      </c>
      <c r="P4" s="284">
        <v>-71</v>
      </c>
      <c r="Q4" s="281">
        <v>-59</v>
      </c>
      <c r="R4" s="228">
        <v>-61</v>
      </c>
      <c r="S4" s="228">
        <v>-42</v>
      </c>
      <c r="T4" s="229">
        <f>+K4-J4</f>
        <v>62</v>
      </c>
      <c r="U4" s="262"/>
      <c r="V4" s="771"/>
      <c r="W4" s="771"/>
      <c r="X4" s="771"/>
      <c r="Y4" s="771"/>
      <c r="Z4" s="771"/>
      <c r="AA4" s="771"/>
      <c r="AB4" s="771"/>
      <c r="AC4" s="771"/>
      <c r="AD4" s="771"/>
    </row>
    <row r="5" spans="1:30" s="66" customFormat="1" ht="14.25" customHeight="1" x14ac:dyDescent="0.2">
      <c r="C5" s="202" t="s">
        <v>281</v>
      </c>
      <c r="D5" s="226">
        <v>1321</v>
      </c>
      <c r="E5" s="226">
        <v>1318</v>
      </c>
      <c r="F5" s="226">
        <v>1310</v>
      </c>
      <c r="G5" s="226">
        <v>1313</v>
      </c>
      <c r="H5" s="226">
        <v>1313</v>
      </c>
      <c r="I5" s="226">
        <v>1320</v>
      </c>
      <c r="J5" s="226">
        <v>1342</v>
      </c>
      <c r="K5" s="383">
        <v>1785</v>
      </c>
      <c r="L5" s="262"/>
      <c r="M5" s="284">
        <v>-12</v>
      </c>
      <c r="N5" s="284">
        <v>-3</v>
      </c>
      <c r="O5" s="284">
        <v>-8</v>
      </c>
      <c r="P5" s="284">
        <v>3</v>
      </c>
      <c r="Q5" s="284">
        <v>0</v>
      </c>
      <c r="R5" s="284">
        <v>7</v>
      </c>
      <c r="S5" s="284">
        <f t="shared" ref="S5:S16" si="0">+J5-I5</f>
        <v>22</v>
      </c>
      <c r="T5" s="229">
        <v>33</v>
      </c>
      <c r="U5" s="262"/>
      <c r="V5" s="771"/>
      <c r="W5" s="771"/>
      <c r="X5" s="771"/>
      <c r="Y5" s="771"/>
      <c r="Z5" s="771"/>
      <c r="AA5" s="771"/>
      <c r="AB5" s="771"/>
      <c r="AC5" s="771"/>
      <c r="AD5" s="771"/>
    </row>
    <row r="6" spans="1:30" ht="14.25" customHeight="1" x14ac:dyDescent="0.2">
      <c r="B6" s="21"/>
      <c r="C6" s="65" t="s">
        <v>451</v>
      </c>
      <c r="D6" s="226">
        <v>15</v>
      </c>
      <c r="E6" s="226">
        <v>70</v>
      </c>
      <c r="F6" s="226">
        <v>67</v>
      </c>
      <c r="G6" s="228">
        <v>87</v>
      </c>
      <c r="H6" s="228">
        <v>85</v>
      </c>
      <c r="I6" s="228">
        <v>60</v>
      </c>
      <c r="J6" s="228">
        <v>59</v>
      </c>
      <c r="K6" s="383">
        <v>59</v>
      </c>
      <c r="L6" s="262"/>
      <c r="M6" s="284">
        <v>0</v>
      </c>
      <c r="N6" s="281">
        <v>0</v>
      </c>
      <c r="O6" s="284">
        <v>-3</v>
      </c>
      <c r="P6" s="284">
        <v>20</v>
      </c>
      <c r="Q6" s="281">
        <v>-2</v>
      </c>
      <c r="R6" s="228">
        <v>-25</v>
      </c>
      <c r="S6" s="228">
        <f t="shared" si="0"/>
        <v>-1</v>
      </c>
      <c r="T6" s="229">
        <f t="shared" ref="T6:T16" si="1">+K6-J6</f>
        <v>0</v>
      </c>
      <c r="U6" s="262"/>
      <c r="V6" s="771"/>
      <c r="W6" s="771"/>
      <c r="X6" s="771"/>
      <c r="Y6" s="771"/>
      <c r="Z6" s="771"/>
      <c r="AA6" s="771"/>
      <c r="AB6" s="771"/>
      <c r="AC6" s="771"/>
      <c r="AD6" s="771"/>
    </row>
    <row r="7" spans="1:30" s="66" customFormat="1" ht="12.75" customHeight="1" x14ac:dyDescent="0.2">
      <c r="B7" s="79"/>
      <c r="C7" s="395" t="s">
        <v>36</v>
      </c>
      <c r="D7" s="228">
        <v>809</v>
      </c>
      <c r="E7" s="226">
        <v>789</v>
      </c>
      <c r="F7" s="226">
        <v>772</v>
      </c>
      <c r="G7" s="228">
        <v>810</v>
      </c>
      <c r="H7" s="228">
        <v>853</v>
      </c>
      <c r="I7" s="228">
        <v>896</v>
      </c>
      <c r="J7" s="228">
        <v>953</v>
      </c>
      <c r="K7" s="383">
        <v>1026</v>
      </c>
      <c r="L7" s="262"/>
      <c r="M7" s="284">
        <v>-26</v>
      </c>
      <c r="N7" s="281">
        <v>-20</v>
      </c>
      <c r="O7" s="284">
        <v>-17</v>
      </c>
      <c r="P7" s="284">
        <v>38</v>
      </c>
      <c r="Q7" s="281">
        <v>43</v>
      </c>
      <c r="R7" s="228">
        <v>43</v>
      </c>
      <c r="S7" s="228">
        <f t="shared" si="0"/>
        <v>57</v>
      </c>
      <c r="T7" s="229">
        <f t="shared" si="1"/>
        <v>73</v>
      </c>
      <c r="U7" s="262"/>
      <c r="V7" s="771"/>
      <c r="W7" s="771"/>
      <c r="X7" s="771"/>
      <c r="Y7" s="771"/>
      <c r="Z7" s="771"/>
      <c r="AA7" s="771"/>
      <c r="AB7" s="771"/>
      <c r="AC7" s="771"/>
      <c r="AD7" s="771"/>
    </row>
    <row r="8" spans="1:30" ht="12.75" customHeight="1" x14ac:dyDescent="0.2">
      <c r="B8" s="21"/>
      <c r="C8" s="65" t="s">
        <v>147</v>
      </c>
      <c r="D8" s="228">
        <v>24</v>
      </c>
      <c r="E8" s="226">
        <v>26</v>
      </c>
      <c r="F8" s="226">
        <v>31</v>
      </c>
      <c r="G8" s="228">
        <v>35</v>
      </c>
      <c r="H8" s="228">
        <v>39</v>
      </c>
      <c r="I8" s="228">
        <v>42</v>
      </c>
      <c r="J8" s="228">
        <v>43</v>
      </c>
      <c r="K8" s="383">
        <v>42</v>
      </c>
      <c r="L8" s="262"/>
      <c r="M8" s="284">
        <v>1</v>
      </c>
      <c r="N8" s="281">
        <v>2</v>
      </c>
      <c r="O8" s="284">
        <v>5</v>
      </c>
      <c r="P8" s="284">
        <v>4</v>
      </c>
      <c r="Q8" s="281">
        <v>4</v>
      </c>
      <c r="R8" s="228">
        <v>3</v>
      </c>
      <c r="S8" s="228">
        <f t="shared" si="0"/>
        <v>1</v>
      </c>
      <c r="T8" s="229">
        <f t="shared" si="1"/>
        <v>-1</v>
      </c>
      <c r="U8" s="262"/>
      <c r="V8" s="771"/>
      <c r="W8" s="771"/>
      <c r="X8" s="771"/>
      <c r="Y8" s="771"/>
      <c r="Z8" s="771"/>
      <c r="AA8" s="771"/>
      <c r="AB8" s="771"/>
      <c r="AC8" s="771"/>
      <c r="AD8" s="771"/>
    </row>
    <row r="9" spans="1:30" ht="12.75" customHeight="1" x14ac:dyDescent="0.2">
      <c r="B9" s="21"/>
      <c r="C9" s="65" t="s">
        <v>150</v>
      </c>
      <c r="D9" s="228">
        <v>189</v>
      </c>
      <c r="E9" s="226">
        <v>186</v>
      </c>
      <c r="F9" s="226">
        <v>191</v>
      </c>
      <c r="G9" s="228">
        <v>193</v>
      </c>
      <c r="H9" s="228">
        <v>193</v>
      </c>
      <c r="I9" s="228">
        <v>193</v>
      </c>
      <c r="J9" s="228">
        <v>195</v>
      </c>
      <c r="K9" s="383">
        <v>197</v>
      </c>
      <c r="L9" s="262"/>
      <c r="M9" s="284">
        <v>2</v>
      </c>
      <c r="N9" s="281">
        <v>-4</v>
      </c>
      <c r="O9" s="284">
        <v>5</v>
      </c>
      <c r="P9" s="284">
        <v>2</v>
      </c>
      <c r="Q9" s="281">
        <v>0</v>
      </c>
      <c r="R9" s="228">
        <v>0</v>
      </c>
      <c r="S9" s="228">
        <f t="shared" si="0"/>
        <v>2</v>
      </c>
      <c r="T9" s="229">
        <f t="shared" si="1"/>
        <v>2</v>
      </c>
      <c r="U9" s="262"/>
      <c r="V9" s="771"/>
      <c r="W9" s="771"/>
      <c r="X9" s="771"/>
      <c r="Y9" s="771"/>
      <c r="Z9" s="771"/>
      <c r="AA9" s="771"/>
      <c r="AB9" s="771"/>
      <c r="AC9" s="771"/>
      <c r="AD9" s="771"/>
    </row>
    <row r="10" spans="1:30" s="66" customFormat="1" ht="12.75" customHeight="1" x14ac:dyDescent="0.2">
      <c r="B10" s="79"/>
      <c r="C10" s="395" t="s">
        <v>153</v>
      </c>
      <c r="D10" s="226">
        <v>102</v>
      </c>
      <c r="E10" s="226">
        <v>102</v>
      </c>
      <c r="F10" s="226">
        <v>102</v>
      </c>
      <c r="G10" s="228">
        <v>103</v>
      </c>
      <c r="H10" s="228">
        <v>113</v>
      </c>
      <c r="I10" s="228">
        <v>133</v>
      </c>
      <c r="J10" s="228">
        <v>172</v>
      </c>
      <c r="K10" s="383">
        <v>212</v>
      </c>
      <c r="L10" s="262"/>
      <c r="M10" s="284">
        <v>-1</v>
      </c>
      <c r="N10" s="284">
        <v>0</v>
      </c>
      <c r="O10" s="284">
        <v>0</v>
      </c>
      <c r="P10" s="284">
        <v>1</v>
      </c>
      <c r="Q10" s="281">
        <v>10</v>
      </c>
      <c r="R10" s="228">
        <v>20</v>
      </c>
      <c r="S10" s="228">
        <f t="shared" si="0"/>
        <v>39</v>
      </c>
      <c r="T10" s="229">
        <f t="shared" si="1"/>
        <v>40</v>
      </c>
      <c r="U10" s="262"/>
      <c r="V10" s="771"/>
      <c r="W10" s="771"/>
      <c r="X10" s="771"/>
      <c r="Y10" s="771"/>
      <c r="Z10" s="771"/>
      <c r="AA10" s="771"/>
      <c r="AB10" s="771"/>
      <c r="AC10" s="771"/>
      <c r="AD10" s="771"/>
    </row>
    <row r="11" spans="1:30" ht="12.75" customHeight="1" x14ac:dyDescent="0.2">
      <c r="B11" s="21"/>
      <c r="C11" s="65" t="s">
        <v>151</v>
      </c>
      <c r="D11" s="228">
        <v>32</v>
      </c>
      <c r="E11" s="226">
        <v>34</v>
      </c>
      <c r="F11" s="226">
        <v>39</v>
      </c>
      <c r="G11" s="228">
        <v>44</v>
      </c>
      <c r="H11" s="228">
        <v>47</v>
      </c>
      <c r="I11" s="228">
        <v>49</v>
      </c>
      <c r="J11" s="228">
        <v>53</v>
      </c>
      <c r="K11" s="383">
        <v>54</v>
      </c>
      <c r="L11" s="262"/>
      <c r="M11" s="284">
        <v>1</v>
      </c>
      <c r="N11" s="281">
        <v>2</v>
      </c>
      <c r="O11" s="284">
        <v>5</v>
      </c>
      <c r="P11" s="284">
        <v>5</v>
      </c>
      <c r="Q11" s="281">
        <v>3</v>
      </c>
      <c r="R11" s="228">
        <v>2</v>
      </c>
      <c r="S11" s="228">
        <f t="shared" si="0"/>
        <v>4</v>
      </c>
      <c r="T11" s="229">
        <f t="shared" si="1"/>
        <v>1</v>
      </c>
      <c r="U11" s="262"/>
      <c r="V11" s="771"/>
      <c r="W11" s="771"/>
      <c r="X11" s="771"/>
      <c r="Y11" s="771"/>
      <c r="Z11" s="771"/>
      <c r="AA11" s="771"/>
      <c r="AB11" s="771"/>
      <c r="AC11" s="771"/>
      <c r="AD11" s="771"/>
    </row>
    <row r="12" spans="1:30" s="66" customFormat="1" ht="12.75" customHeight="1" x14ac:dyDescent="0.2">
      <c r="B12" s="79"/>
      <c r="C12" s="395" t="s">
        <v>152</v>
      </c>
      <c r="D12" s="228">
        <v>0</v>
      </c>
      <c r="E12" s="226">
        <v>0</v>
      </c>
      <c r="F12" s="226">
        <v>3</v>
      </c>
      <c r="G12" s="228">
        <v>4</v>
      </c>
      <c r="H12" s="228">
        <v>5</v>
      </c>
      <c r="I12" s="228">
        <v>7</v>
      </c>
      <c r="J12" s="228">
        <v>9</v>
      </c>
      <c r="K12" s="383">
        <v>11</v>
      </c>
      <c r="L12" s="262"/>
      <c r="M12" s="284">
        <v>0</v>
      </c>
      <c r="N12" s="281">
        <v>0</v>
      </c>
      <c r="O12" s="284">
        <v>3</v>
      </c>
      <c r="P12" s="284">
        <v>1</v>
      </c>
      <c r="Q12" s="281">
        <v>1</v>
      </c>
      <c r="R12" s="228">
        <v>2</v>
      </c>
      <c r="S12" s="228">
        <f t="shared" si="0"/>
        <v>2</v>
      </c>
      <c r="T12" s="229">
        <f t="shared" si="1"/>
        <v>2</v>
      </c>
      <c r="U12" s="262"/>
      <c r="V12" s="771"/>
      <c r="W12" s="771"/>
      <c r="X12" s="771"/>
      <c r="Y12" s="771"/>
      <c r="Z12" s="771"/>
      <c r="AA12" s="771"/>
      <c r="AB12" s="771"/>
      <c r="AC12" s="771"/>
      <c r="AD12" s="771"/>
    </row>
    <row r="13" spans="1:30" ht="12.75" customHeight="1" x14ac:dyDescent="0.2">
      <c r="B13" s="21"/>
      <c r="C13" s="65" t="s">
        <v>193</v>
      </c>
      <c r="D13" s="228">
        <v>5</v>
      </c>
      <c r="E13" s="226">
        <v>5</v>
      </c>
      <c r="F13" s="226">
        <v>7</v>
      </c>
      <c r="G13" s="228">
        <v>9</v>
      </c>
      <c r="H13" s="228">
        <v>10</v>
      </c>
      <c r="I13" s="228">
        <v>11</v>
      </c>
      <c r="J13" s="228">
        <v>11</v>
      </c>
      <c r="K13" s="383">
        <v>13</v>
      </c>
      <c r="L13" s="262"/>
      <c r="M13" s="284">
        <v>2</v>
      </c>
      <c r="N13" s="281">
        <v>1</v>
      </c>
      <c r="O13" s="284">
        <v>2</v>
      </c>
      <c r="P13" s="284">
        <v>2</v>
      </c>
      <c r="Q13" s="281">
        <v>1</v>
      </c>
      <c r="R13" s="228">
        <v>1</v>
      </c>
      <c r="S13" s="228">
        <f t="shared" si="0"/>
        <v>0</v>
      </c>
      <c r="T13" s="229">
        <f t="shared" si="1"/>
        <v>2</v>
      </c>
      <c r="U13" s="262"/>
      <c r="V13" s="771"/>
      <c r="W13" s="771"/>
      <c r="X13" s="771"/>
      <c r="Y13" s="771"/>
      <c r="Z13" s="771"/>
      <c r="AA13" s="771"/>
      <c r="AB13" s="771"/>
      <c r="AC13" s="771"/>
      <c r="AD13" s="771"/>
    </row>
    <row r="14" spans="1:30" ht="12.75" customHeight="1" x14ac:dyDescent="0.2">
      <c r="B14" s="21"/>
      <c r="C14" s="65" t="s">
        <v>149</v>
      </c>
      <c r="D14" s="226">
        <v>0</v>
      </c>
      <c r="E14" s="226">
        <v>0</v>
      </c>
      <c r="F14" s="226">
        <v>0</v>
      </c>
      <c r="G14" s="228">
        <v>0</v>
      </c>
      <c r="H14" s="228">
        <v>0</v>
      </c>
      <c r="I14" s="228">
        <v>0</v>
      </c>
      <c r="J14" s="228">
        <v>0</v>
      </c>
      <c r="K14" s="383">
        <v>0</v>
      </c>
      <c r="L14" s="262"/>
      <c r="M14" s="284">
        <v>0</v>
      </c>
      <c r="N14" s="281">
        <v>0</v>
      </c>
      <c r="O14" s="284">
        <v>0</v>
      </c>
      <c r="P14" s="284">
        <v>0</v>
      </c>
      <c r="Q14" s="281">
        <v>0</v>
      </c>
      <c r="R14" s="228">
        <v>0</v>
      </c>
      <c r="S14" s="228">
        <f t="shared" si="0"/>
        <v>0</v>
      </c>
      <c r="T14" s="229">
        <f t="shared" si="1"/>
        <v>0</v>
      </c>
      <c r="U14" s="262"/>
      <c r="V14" s="771"/>
      <c r="W14" s="771"/>
      <c r="X14" s="771"/>
      <c r="Y14" s="771"/>
      <c r="Z14" s="771"/>
      <c r="AA14" s="771"/>
      <c r="AB14" s="771"/>
      <c r="AC14" s="771"/>
      <c r="AD14" s="771"/>
    </row>
    <row r="15" spans="1:30" s="66" customFormat="1" ht="12.75" customHeight="1" x14ac:dyDescent="0.2">
      <c r="B15" s="79"/>
      <c r="C15" s="395" t="s">
        <v>154</v>
      </c>
      <c r="D15" s="228">
        <v>0</v>
      </c>
      <c r="E15" s="226">
        <v>0</v>
      </c>
      <c r="F15" s="226">
        <v>0</v>
      </c>
      <c r="G15" s="228">
        <v>0</v>
      </c>
      <c r="H15" s="228">
        <v>0</v>
      </c>
      <c r="I15" s="228">
        <v>0</v>
      </c>
      <c r="J15" s="228">
        <v>0</v>
      </c>
      <c r="K15" s="383">
        <v>0</v>
      </c>
      <c r="L15" s="262"/>
      <c r="M15" s="284">
        <v>0</v>
      </c>
      <c r="N15" s="281">
        <v>0</v>
      </c>
      <c r="O15" s="284">
        <v>0</v>
      </c>
      <c r="P15" s="284">
        <v>0</v>
      </c>
      <c r="Q15" s="281">
        <v>0</v>
      </c>
      <c r="R15" s="228">
        <v>0</v>
      </c>
      <c r="S15" s="228">
        <f t="shared" si="0"/>
        <v>0</v>
      </c>
      <c r="T15" s="229">
        <f t="shared" si="1"/>
        <v>0</v>
      </c>
      <c r="U15" s="262"/>
      <c r="V15" s="771"/>
      <c r="W15" s="771"/>
      <c r="X15" s="771"/>
      <c r="Y15" s="771"/>
      <c r="Z15" s="771"/>
      <c r="AA15" s="771"/>
      <c r="AB15" s="771"/>
      <c r="AC15" s="771"/>
      <c r="AD15" s="771"/>
    </row>
    <row r="16" spans="1:30" s="66" customFormat="1" ht="12.75" customHeight="1" x14ac:dyDescent="0.2">
      <c r="B16" s="79"/>
      <c r="C16" s="395" t="s">
        <v>155</v>
      </c>
      <c r="D16" s="228">
        <v>4</v>
      </c>
      <c r="E16" s="226">
        <v>4</v>
      </c>
      <c r="F16" s="226">
        <v>4</v>
      </c>
      <c r="G16" s="228">
        <v>4</v>
      </c>
      <c r="H16" s="228">
        <v>4</v>
      </c>
      <c r="I16" s="228">
        <v>4</v>
      </c>
      <c r="J16" s="228">
        <v>4</v>
      </c>
      <c r="K16" s="383">
        <v>4</v>
      </c>
      <c r="L16" s="262"/>
      <c r="M16" s="284">
        <v>0</v>
      </c>
      <c r="N16" s="281">
        <v>0</v>
      </c>
      <c r="O16" s="284">
        <v>0</v>
      </c>
      <c r="P16" s="284">
        <v>0</v>
      </c>
      <c r="Q16" s="281">
        <v>0</v>
      </c>
      <c r="R16" s="228">
        <v>0</v>
      </c>
      <c r="S16" s="228">
        <f t="shared" si="0"/>
        <v>0</v>
      </c>
      <c r="T16" s="229">
        <f t="shared" si="1"/>
        <v>0</v>
      </c>
      <c r="U16" s="262"/>
      <c r="V16" s="771"/>
      <c r="W16" s="771"/>
      <c r="X16" s="771"/>
      <c r="Y16" s="771"/>
      <c r="Z16" s="771"/>
      <c r="AA16" s="771"/>
      <c r="AB16" s="771"/>
      <c r="AC16" s="771"/>
      <c r="AD16" s="771"/>
    </row>
    <row r="17" spans="2:30" s="82" customFormat="1" ht="12.75" customHeight="1" x14ac:dyDescent="0.2">
      <c r="B17" s="79"/>
      <c r="C17" s="82" t="s">
        <v>22</v>
      </c>
      <c r="D17" s="271">
        <v>5849</v>
      </c>
      <c r="E17" s="271">
        <v>5814</v>
      </c>
      <c r="F17" s="271">
        <v>5733</v>
      </c>
      <c r="G17" s="271">
        <v>5738</v>
      </c>
      <c r="H17" s="271">
        <v>5739</v>
      </c>
      <c r="I17" s="271">
        <v>5731</v>
      </c>
      <c r="J17" s="271">
        <f>SUM(J4:J16)</f>
        <v>8000</v>
      </c>
      <c r="K17" s="384">
        <f t="shared" ref="K17" si="2">SUM(K4:K16)</f>
        <v>8624</v>
      </c>
      <c r="L17" s="298"/>
      <c r="M17" s="271">
        <f t="shared" ref="M17:S17" si="3">SUM(M4:M16)</f>
        <v>-77</v>
      </c>
      <c r="N17" s="271">
        <f t="shared" si="3"/>
        <v>-90</v>
      </c>
      <c r="O17" s="271">
        <f t="shared" si="3"/>
        <v>-81</v>
      </c>
      <c r="P17" s="271">
        <f t="shared" si="3"/>
        <v>5</v>
      </c>
      <c r="Q17" s="271">
        <f t="shared" si="3"/>
        <v>1</v>
      </c>
      <c r="R17" s="271">
        <f t="shared" si="3"/>
        <v>-8</v>
      </c>
      <c r="S17" s="271">
        <f t="shared" si="3"/>
        <v>84</v>
      </c>
      <c r="T17" s="272">
        <f t="shared" ref="T17" si="4">SUM(T4:T16)</f>
        <v>214</v>
      </c>
      <c r="U17" s="298"/>
      <c r="V17" s="771"/>
      <c r="W17" s="771"/>
      <c r="X17" s="771"/>
      <c r="Y17" s="771"/>
      <c r="Z17" s="771"/>
      <c r="AA17" s="771"/>
      <c r="AB17" s="771"/>
      <c r="AC17" s="771"/>
      <c r="AD17" s="771"/>
    </row>
    <row r="18" spans="2:30" s="66" customFormat="1" ht="3.95" customHeight="1" x14ac:dyDescent="0.2">
      <c r="B18" s="79"/>
      <c r="C18" s="395"/>
      <c r="D18" s="273"/>
      <c r="E18" s="29"/>
      <c r="F18" s="29"/>
      <c r="G18" s="228"/>
      <c r="H18" s="228"/>
      <c r="I18" s="228"/>
      <c r="J18" s="228"/>
      <c r="K18" s="383"/>
      <c r="L18" s="262"/>
      <c r="M18" s="290"/>
      <c r="N18" s="290"/>
      <c r="O18" s="289"/>
      <c r="P18" s="289"/>
      <c r="Q18" s="281"/>
      <c r="R18" s="228"/>
      <c r="S18" s="228"/>
      <c r="T18" s="229"/>
      <c r="U18" s="262"/>
      <c r="V18" s="771"/>
      <c r="W18" s="771"/>
      <c r="X18" s="771"/>
      <c r="Y18" s="771"/>
      <c r="Z18" s="771"/>
      <c r="AA18" s="771"/>
      <c r="AB18" s="771"/>
      <c r="AC18" s="771"/>
      <c r="AD18" s="771"/>
    </row>
    <row r="19" spans="2:30" ht="3.95" customHeight="1" x14ac:dyDescent="0.2">
      <c r="B19" s="21"/>
      <c r="D19" s="273"/>
      <c r="E19" s="29"/>
      <c r="F19" s="29"/>
      <c r="G19" s="266"/>
      <c r="H19" s="266"/>
      <c r="I19" s="266"/>
      <c r="J19" s="266"/>
      <c r="K19" s="386"/>
      <c r="L19" s="262"/>
      <c r="M19" s="290"/>
      <c r="N19" s="290"/>
      <c r="O19" s="289"/>
      <c r="P19" s="289"/>
      <c r="Q19" s="270"/>
      <c r="R19" s="266"/>
      <c r="S19" s="266"/>
      <c r="T19" s="268"/>
      <c r="U19" s="262"/>
      <c r="V19" s="771"/>
      <c r="W19" s="771"/>
      <c r="X19" s="771"/>
      <c r="Y19" s="771"/>
      <c r="Z19" s="771"/>
      <c r="AA19" s="771"/>
      <c r="AB19" s="771"/>
      <c r="AC19" s="771"/>
      <c r="AD19" s="771"/>
    </row>
    <row r="20" spans="2:30" ht="14.25" customHeight="1" x14ac:dyDescent="0.2">
      <c r="B20" s="45" t="s">
        <v>16</v>
      </c>
      <c r="D20" s="273"/>
      <c r="E20" s="29"/>
      <c r="F20" s="29"/>
      <c r="G20" s="266"/>
      <c r="H20" s="266"/>
      <c r="I20" s="266"/>
      <c r="J20" s="266"/>
      <c r="K20" s="386"/>
      <c r="L20" s="262"/>
      <c r="M20" s="290"/>
      <c r="N20" s="290"/>
      <c r="O20" s="289"/>
      <c r="P20" s="289"/>
      <c r="Q20" s="270"/>
      <c r="R20" s="266"/>
      <c r="S20" s="266"/>
      <c r="T20" s="268"/>
      <c r="U20" s="262"/>
      <c r="V20" s="771"/>
      <c r="W20" s="771"/>
      <c r="X20" s="771"/>
      <c r="Y20" s="771"/>
      <c r="Z20" s="771"/>
      <c r="AA20" s="771"/>
      <c r="AB20" s="771"/>
      <c r="AC20" s="771"/>
      <c r="AD20" s="771"/>
    </row>
    <row r="21" spans="2:30" ht="12.75" customHeight="1" x14ac:dyDescent="0.2">
      <c r="B21" s="21"/>
      <c r="C21" s="275" t="s">
        <v>132</v>
      </c>
      <c r="D21" s="228">
        <v>0</v>
      </c>
      <c r="E21" s="226">
        <v>0</v>
      </c>
      <c r="F21" s="226">
        <v>0</v>
      </c>
      <c r="G21" s="228">
        <v>0</v>
      </c>
      <c r="H21" s="228">
        <v>0</v>
      </c>
      <c r="I21" s="228">
        <v>0</v>
      </c>
      <c r="J21" s="228">
        <v>0</v>
      </c>
      <c r="K21" s="383">
        <v>0</v>
      </c>
      <c r="L21" s="262"/>
      <c r="M21" s="284">
        <v>0</v>
      </c>
      <c r="N21" s="281">
        <v>0</v>
      </c>
      <c r="O21" s="284">
        <v>0</v>
      </c>
      <c r="P21" s="284">
        <v>0</v>
      </c>
      <c r="Q21" s="281">
        <v>0</v>
      </c>
      <c r="R21" s="228">
        <v>0</v>
      </c>
      <c r="S21" s="228">
        <f t="shared" ref="S21:S29" si="5">+J21-I21</f>
        <v>0</v>
      </c>
      <c r="T21" s="229">
        <f t="shared" ref="T21:T29" si="6">+K21-J21</f>
        <v>0</v>
      </c>
      <c r="U21" s="262"/>
      <c r="V21" s="771"/>
      <c r="W21" s="771"/>
      <c r="X21" s="771"/>
      <c r="Y21" s="771"/>
      <c r="Z21" s="771"/>
      <c r="AA21" s="771"/>
      <c r="AB21" s="771"/>
      <c r="AC21" s="771"/>
      <c r="AD21" s="771"/>
    </row>
    <row r="22" spans="2:30" ht="14.25" customHeight="1" x14ac:dyDescent="0.2">
      <c r="B22" s="21"/>
      <c r="C22" s="52" t="s">
        <v>283</v>
      </c>
      <c r="D22" s="228">
        <v>0</v>
      </c>
      <c r="E22" s="226">
        <v>0</v>
      </c>
      <c r="F22" s="226">
        <v>0</v>
      </c>
      <c r="G22" s="228">
        <v>0</v>
      </c>
      <c r="H22" s="228">
        <v>0</v>
      </c>
      <c r="I22" s="228">
        <v>0</v>
      </c>
      <c r="J22" s="228">
        <v>0</v>
      </c>
      <c r="K22" s="383">
        <v>0</v>
      </c>
      <c r="L22" s="262"/>
      <c r="M22" s="284">
        <v>0</v>
      </c>
      <c r="N22" s="281">
        <v>0</v>
      </c>
      <c r="O22" s="284">
        <v>0</v>
      </c>
      <c r="P22" s="284">
        <v>0</v>
      </c>
      <c r="Q22" s="281">
        <v>0</v>
      </c>
      <c r="R22" s="228">
        <v>0</v>
      </c>
      <c r="S22" s="228">
        <f t="shared" si="5"/>
        <v>0</v>
      </c>
      <c r="T22" s="229">
        <f t="shared" si="6"/>
        <v>0</v>
      </c>
      <c r="U22" s="262"/>
      <c r="V22" s="771"/>
      <c r="W22" s="771"/>
      <c r="X22" s="771"/>
      <c r="Y22" s="771"/>
      <c r="Z22" s="771"/>
      <c r="AA22" s="771"/>
      <c r="AB22" s="771"/>
      <c r="AC22" s="771"/>
      <c r="AD22" s="771"/>
    </row>
    <row r="23" spans="2:30" ht="12.75" customHeight="1" x14ac:dyDescent="0.2">
      <c r="B23" s="21"/>
      <c r="C23" s="65" t="s">
        <v>148</v>
      </c>
      <c r="D23" s="228">
        <v>136</v>
      </c>
      <c r="E23" s="226">
        <v>136</v>
      </c>
      <c r="F23" s="226">
        <v>126</v>
      </c>
      <c r="G23" s="228">
        <v>118</v>
      </c>
      <c r="H23" s="228">
        <v>117</v>
      </c>
      <c r="I23" s="228">
        <v>81</v>
      </c>
      <c r="J23" s="228">
        <v>77</v>
      </c>
      <c r="K23" s="383">
        <v>72</v>
      </c>
      <c r="L23" s="262"/>
      <c r="M23" s="284">
        <v>0</v>
      </c>
      <c r="N23" s="281">
        <v>0</v>
      </c>
      <c r="O23" s="284">
        <v>-10</v>
      </c>
      <c r="P23" s="284">
        <v>-8</v>
      </c>
      <c r="Q23" s="281">
        <v>-1</v>
      </c>
      <c r="R23" s="228">
        <v>-36</v>
      </c>
      <c r="S23" s="228">
        <f t="shared" si="5"/>
        <v>-4</v>
      </c>
      <c r="T23" s="229">
        <f t="shared" si="6"/>
        <v>-5</v>
      </c>
      <c r="U23" s="262"/>
      <c r="V23" s="771"/>
      <c r="W23" s="771"/>
      <c r="X23" s="771"/>
      <c r="Y23" s="771"/>
      <c r="Z23" s="771"/>
      <c r="AA23" s="771"/>
      <c r="AB23" s="771"/>
      <c r="AC23" s="771"/>
      <c r="AD23" s="771"/>
    </row>
    <row r="24" spans="2:30" ht="12.75" customHeight="1" x14ac:dyDescent="0.2">
      <c r="B24" s="65"/>
      <c r="C24" s="52" t="s">
        <v>194</v>
      </c>
      <c r="D24" s="284">
        <v>0</v>
      </c>
      <c r="E24" s="284">
        <v>0</v>
      </c>
      <c r="F24" s="284">
        <v>0</v>
      </c>
      <c r="G24" s="284">
        <v>0</v>
      </c>
      <c r="H24" s="284">
        <v>0</v>
      </c>
      <c r="I24" s="284">
        <v>0</v>
      </c>
      <c r="J24" s="284">
        <v>0</v>
      </c>
      <c r="K24" s="759">
        <v>0</v>
      </c>
      <c r="L24" s="262"/>
      <c r="M24" s="284">
        <v>0</v>
      </c>
      <c r="N24" s="284">
        <v>0</v>
      </c>
      <c r="O24" s="284">
        <v>0</v>
      </c>
      <c r="P24" s="284">
        <v>0</v>
      </c>
      <c r="Q24" s="284">
        <v>0</v>
      </c>
      <c r="R24" s="284">
        <v>0</v>
      </c>
      <c r="S24" s="284">
        <f t="shared" si="5"/>
        <v>0</v>
      </c>
      <c r="T24" s="227">
        <f t="shared" si="6"/>
        <v>0</v>
      </c>
      <c r="U24" s="262"/>
      <c r="V24" s="771"/>
      <c r="W24" s="771"/>
      <c r="X24" s="771"/>
      <c r="Y24" s="771"/>
      <c r="Z24" s="771"/>
      <c r="AA24" s="771"/>
      <c r="AB24" s="771"/>
      <c r="AC24" s="771"/>
      <c r="AD24" s="771"/>
    </row>
    <row r="25" spans="2:30" ht="12.75" customHeight="1" x14ac:dyDescent="0.2">
      <c r="B25" s="21"/>
      <c r="C25" s="769" t="s">
        <v>157</v>
      </c>
      <c r="D25" s="228">
        <v>123</v>
      </c>
      <c r="E25" s="226">
        <v>138</v>
      </c>
      <c r="F25" s="226">
        <v>194</v>
      </c>
      <c r="G25" s="228">
        <v>209</v>
      </c>
      <c r="H25" s="228">
        <v>220</v>
      </c>
      <c r="I25" s="228">
        <v>226</v>
      </c>
      <c r="J25" s="228">
        <v>215</v>
      </c>
      <c r="K25" s="383">
        <v>188</v>
      </c>
      <c r="L25" s="262"/>
      <c r="M25" s="284">
        <v>9</v>
      </c>
      <c r="N25" s="281">
        <v>15</v>
      </c>
      <c r="O25" s="284">
        <v>56</v>
      </c>
      <c r="P25" s="284">
        <v>15</v>
      </c>
      <c r="Q25" s="281">
        <v>11</v>
      </c>
      <c r="R25" s="228">
        <v>6</v>
      </c>
      <c r="S25" s="228">
        <f t="shared" si="5"/>
        <v>-11</v>
      </c>
      <c r="T25" s="229">
        <f t="shared" si="6"/>
        <v>-27</v>
      </c>
      <c r="U25" s="262"/>
      <c r="V25" s="771"/>
      <c r="W25" s="771"/>
      <c r="X25" s="771"/>
      <c r="Y25" s="771"/>
      <c r="Z25" s="771"/>
      <c r="AA25" s="771"/>
      <c r="AB25" s="771"/>
      <c r="AC25" s="771"/>
      <c r="AD25" s="771"/>
    </row>
    <row r="26" spans="2:30" ht="14.25" customHeight="1" x14ac:dyDescent="0.2">
      <c r="B26" s="21"/>
      <c r="C26" s="65" t="s">
        <v>452</v>
      </c>
      <c r="D26" s="228">
        <v>168</v>
      </c>
      <c r="E26" s="226">
        <v>175</v>
      </c>
      <c r="F26" s="226">
        <v>179</v>
      </c>
      <c r="G26" s="228">
        <v>409</v>
      </c>
      <c r="H26" s="228">
        <v>412</v>
      </c>
      <c r="I26" s="228">
        <v>412</v>
      </c>
      <c r="J26" s="228">
        <v>410</v>
      </c>
      <c r="K26" s="383">
        <v>415</v>
      </c>
      <c r="L26" s="262"/>
      <c r="M26" s="284">
        <v>3</v>
      </c>
      <c r="N26" s="281">
        <v>7</v>
      </c>
      <c r="O26" s="284">
        <v>4</v>
      </c>
      <c r="P26" s="284">
        <v>4</v>
      </c>
      <c r="Q26" s="281">
        <v>3</v>
      </c>
      <c r="R26" s="228">
        <v>0</v>
      </c>
      <c r="S26" s="228">
        <f t="shared" si="5"/>
        <v>-2</v>
      </c>
      <c r="T26" s="229">
        <f t="shared" si="6"/>
        <v>5</v>
      </c>
      <c r="U26" s="262"/>
      <c r="V26" s="771"/>
      <c r="W26" s="771"/>
      <c r="X26" s="771"/>
      <c r="Y26" s="771"/>
      <c r="Z26" s="771"/>
      <c r="AA26" s="771"/>
      <c r="AB26" s="771"/>
      <c r="AC26" s="771"/>
      <c r="AD26" s="771"/>
    </row>
    <row r="27" spans="2:30" ht="12.75" customHeight="1" x14ac:dyDescent="0.2">
      <c r="B27" s="21"/>
      <c r="C27" s="65" t="s">
        <v>196</v>
      </c>
      <c r="D27" s="226">
        <v>2</v>
      </c>
      <c r="E27" s="226">
        <v>2</v>
      </c>
      <c r="F27" s="226">
        <v>3</v>
      </c>
      <c r="G27" s="228">
        <v>3</v>
      </c>
      <c r="H27" s="228">
        <v>3</v>
      </c>
      <c r="I27" s="228">
        <v>4</v>
      </c>
      <c r="J27" s="228">
        <v>5</v>
      </c>
      <c r="K27" s="383">
        <v>6</v>
      </c>
      <c r="L27" s="262"/>
      <c r="M27" s="284">
        <v>0</v>
      </c>
      <c r="N27" s="284">
        <v>0</v>
      </c>
      <c r="O27" s="284">
        <v>1</v>
      </c>
      <c r="P27" s="284">
        <v>0</v>
      </c>
      <c r="Q27" s="281">
        <v>0</v>
      </c>
      <c r="R27" s="228">
        <v>1</v>
      </c>
      <c r="S27" s="228">
        <f t="shared" si="5"/>
        <v>1</v>
      </c>
      <c r="T27" s="229">
        <f t="shared" si="6"/>
        <v>1</v>
      </c>
      <c r="U27" s="262"/>
      <c r="V27" s="771"/>
      <c r="W27" s="771"/>
      <c r="X27" s="771"/>
      <c r="Y27" s="771"/>
      <c r="Z27" s="771"/>
      <c r="AA27" s="771"/>
      <c r="AB27" s="771"/>
      <c r="AC27" s="771"/>
      <c r="AD27" s="771"/>
    </row>
    <row r="28" spans="2:30" ht="12.75" customHeight="1" x14ac:dyDescent="0.2">
      <c r="B28" s="21"/>
      <c r="C28" s="769" t="s">
        <v>158</v>
      </c>
      <c r="D28" s="228">
        <v>28</v>
      </c>
      <c r="E28" s="226">
        <v>29</v>
      </c>
      <c r="F28" s="226">
        <v>31</v>
      </c>
      <c r="G28" s="228">
        <v>33</v>
      </c>
      <c r="H28" s="228">
        <v>35</v>
      </c>
      <c r="I28" s="228">
        <v>26</v>
      </c>
      <c r="J28" s="228">
        <v>25</v>
      </c>
      <c r="K28" s="383">
        <v>28</v>
      </c>
      <c r="L28" s="262"/>
      <c r="M28" s="284">
        <v>-8</v>
      </c>
      <c r="N28" s="281">
        <v>1</v>
      </c>
      <c r="O28" s="284">
        <v>2</v>
      </c>
      <c r="P28" s="284">
        <v>2</v>
      </c>
      <c r="Q28" s="281">
        <v>2</v>
      </c>
      <c r="R28" s="228">
        <v>-9</v>
      </c>
      <c r="S28" s="228">
        <f t="shared" si="5"/>
        <v>-1</v>
      </c>
      <c r="T28" s="229">
        <f t="shared" si="6"/>
        <v>3</v>
      </c>
      <c r="U28" s="262"/>
      <c r="V28" s="771"/>
      <c r="W28" s="771"/>
      <c r="X28" s="771"/>
      <c r="Y28" s="771"/>
      <c r="Z28" s="771"/>
      <c r="AA28" s="771"/>
      <c r="AB28" s="771"/>
      <c r="AC28" s="771"/>
      <c r="AD28" s="771"/>
    </row>
    <row r="29" spans="2:30" ht="12.75" customHeight="1" x14ac:dyDescent="0.2">
      <c r="B29" s="65"/>
      <c r="C29" s="769" t="s">
        <v>195</v>
      </c>
      <c r="D29" s="284">
        <v>0</v>
      </c>
      <c r="E29" s="284">
        <v>0</v>
      </c>
      <c r="F29" s="284">
        <v>0</v>
      </c>
      <c r="G29" s="284">
        <v>0</v>
      </c>
      <c r="H29" s="284">
        <v>0</v>
      </c>
      <c r="I29" s="284">
        <v>0</v>
      </c>
      <c r="J29" s="284">
        <v>0</v>
      </c>
      <c r="K29" s="759">
        <v>0</v>
      </c>
      <c r="L29" s="262"/>
      <c r="M29" s="284">
        <v>0</v>
      </c>
      <c r="N29" s="284">
        <v>0</v>
      </c>
      <c r="O29" s="284">
        <v>0</v>
      </c>
      <c r="P29" s="284">
        <v>0</v>
      </c>
      <c r="Q29" s="284">
        <v>0</v>
      </c>
      <c r="R29" s="284">
        <v>0</v>
      </c>
      <c r="S29" s="284">
        <f t="shared" si="5"/>
        <v>0</v>
      </c>
      <c r="T29" s="227">
        <f t="shared" si="6"/>
        <v>0</v>
      </c>
      <c r="U29" s="262"/>
      <c r="V29" s="771"/>
      <c r="W29" s="771"/>
      <c r="X29" s="771"/>
      <c r="Y29" s="771"/>
      <c r="Z29" s="771"/>
      <c r="AA29" s="771"/>
      <c r="AB29" s="771"/>
      <c r="AC29" s="771"/>
      <c r="AD29" s="771"/>
    </row>
    <row r="30" spans="2:30" ht="12.75" customHeight="1" x14ac:dyDescent="0.2">
      <c r="B30" s="21"/>
      <c r="C30" s="82" t="s">
        <v>22</v>
      </c>
      <c r="D30" s="271">
        <v>457</v>
      </c>
      <c r="E30" s="271">
        <v>480</v>
      </c>
      <c r="F30" s="271">
        <v>533</v>
      </c>
      <c r="G30" s="271">
        <v>772</v>
      </c>
      <c r="H30" s="271">
        <v>787</v>
      </c>
      <c r="I30" s="271">
        <v>749</v>
      </c>
      <c r="J30" s="271">
        <v>732</v>
      </c>
      <c r="K30" s="384">
        <f t="shared" ref="K30" si="7">SUM(K21:K29)</f>
        <v>709</v>
      </c>
      <c r="L30" s="262"/>
      <c r="M30" s="271">
        <f t="shared" ref="M30:S30" si="8">SUM(M21:M29)</f>
        <v>4</v>
      </c>
      <c r="N30" s="271">
        <f t="shared" si="8"/>
        <v>23</v>
      </c>
      <c r="O30" s="271">
        <f t="shared" si="8"/>
        <v>53</v>
      </c>
      <c r="P30" s="271">
        <f t="shared" si="8"/>
        <v>13</v>
      </c>
      <c r="Q30" s="271">
        <f t="shared" si="8"/>
        <v>15</v>
      </c>
      <c r="R30" s="271">
        <f t="shared" si="8"/>
        <v>-38</v>
      </c>
      <c r="S30" s="271">
        <f t="shared" si="8"/>
        <v>-17</v>
      </c>
      <c r="T30" s="272">
        <f t="shared" ref="T30" si="9">SUM(T21:T29)</f>
        <v>-23</v>
      </c>
      <c r="U30" s="262"/>
      <c r="V30" s="771"/>
      <c r="W30" s="771"/>
      <c r="X30" s="771"/>
      <c r="Y30" s="771"/>
      <c r="Z30" s="771"/>
      <c r="AA30" s="771"/>
      <c r="AB30" s="771"/>
      <c r="AC30" s="771"/>
      <c r="AD30" s="771"/>
    </row>
    <row r="31" spans="2:30" s="45" customFormat="1" ht="12.75" customHeight="1" x14ac:dyDescent="0.2">
      <c r="B31" s="21"/>
      <c r="D31" s="228"/>
      <c r="E31" s="29"/>
      <c r="F31" s="29"/>
      <c r="G31" s="228"/>
      <c r="H31" s="228"/>
      <c r="I31" s="228"/>
      <c r="J31" s="228"/>
      <c r="K31" s="383"/>
      <c r="L31" s="298"/>
      <c r="M31" s="228"/>
      <c r="N31" s="29"/>
      <c r="O31" s="29"/>
      <c r="P31" s="228"/>
      <c r="Q31" s="228"/>
      <c r="R31" s="228"/>
      <c r="S31" s="228"/>
      <c r="T31" s="229"/>
      <c r="U31" s="298"/>
      <c r="V31" s="771"/>
      <c r="W31" s="771"/>
      <c r="X31" s="771"/>
      <c r="Y31" s="771"/>
      <c r="Z31" s="771"/>
      <c r="AA31" s="771"/>
      <c r="AB31" s="771"/>
      <c r="AC31" s="771"/>
      <c r="AD31" s="771"/>
    </row>
    <row r="32" spans="2:30" s="45" customFormat="1" ht="12.75" customHeight="1" thickBot="1" x14ac:dyDescent="0.25">
      <c r="B32" s="21" t="s">
        <v>137</v>
      </c>
      <c r="D32" s="278">
        <v>6306</v>
      </c>
      <c r="E32" s="278">
        <v>6294</v>
      </c>
      <c r="F32" s="278">
        <v>6266</v>
      </c>
      <c r="G32" s="278">
        <v>6510</v>
      </c>
      <c r="H32" s="278">
        <v>6526</v>
      </c>
      <c r="I32" s="278">
        <v>6480</v>
      </c>
      <c r="J32" s="278">
        <f t="shared" ref="J32:K32" si="10">+J30+J17</f>
        <v>8732</v>
      </c>
      <c r="K32" s="389">
        <f t="shared" si="10"/>
        <v>9333</v>
      </c>
      <c r="L32" s="298"/>
      <c r="M32" s="278">
        <f t="shared" ref="M32:S32" si="11">+M30+M17</f>
        <v>-73</v>
      </c>
      <c r="N32" s="278">
        <f t="shared" si="11"/>
        <v>-67</v>
      </c>
      <c r="O32" s="278">
        <f t="shared" si="11"/>
        <v>-28</v>
      </c>
      <c r="P32" s="278">
        <f t="shared" si="11"/>
        <v>18</v>
      </c>
      <c r="Q32" s="278">
        <f t="shared" si="11"/>
        <v>16</v>
      </c>
      <c r="R32" s="278">
        <f t="shared" si="11"/>
        <v>-46</v>
      </c>
      <c r="S32" s="278">
        <f t="shared" si="11"/>
        <v>67</v>
      </c>
      <c r="T32" s="279">
        <f t="shared" ref="T32" si="12">+T30+T17</f>
        <v>191</v>
      </c>
      <c r="U32" s="298"/>
      <c r="V32" s="771"/>
      <c r="W32" s="771"/>
      <c r="X32" s="771"/>
      <c r="Y32" s="771"/>
      <c r="Z32" s="771"/>
      <c r="AA32" s="771"/>
      <c r="AB32" s="771"/>
      <c r="AC32" s="771"/>
      <c r="AD32" s="771"/>
    </row>
    <row r="33" spans="2:21" ht="3.95" customHeight="1" thickTop="1" x14ac:dyDescent="0.2">
      <c r="B33" s="21"/>
      <c r="D33" s="238"/>
      <c r="E33" s="238"/>
      <c r="F33" s="65"/>
      <c r="G33" s="238"/>
      <c r="H33" s="269"/>
      <c r="I33" s="269"/>
      <c r="J33" s="266"/>
      <c r="K33" s="296"/>
      <c r="L33" s="262"/>
      <c r="M33" s="238"/>
      <c r="N33" s="238"/>
      <c r="O33" s="65"/>
      <c r="P33" s="238"/>
      <c r="Q33" s="269"/>
      <c r="R33" s="269"/>
      <c r="S33" s="266"/>
      <c r="T33" s="296"/>
      <c r="U33" s="262"/>
    </row>
    <row r="34" spans="2:21" ht="12.75" customHeight="1" x14ac:dyDescent="0.2">
      <c r="B34" s="21"/>
      <c r="D34" s="238"/>
      <c r="E34" s="238"/>
      <c r="F34" s="65"/>
      <c r="G34" s="238"/>
      <c r="H34" s="269"/>
      <c r="I34" s="269"/>
      <c r="J34" s="266"/>
      <c r="K34" s="296"/>
      <c r="L34" s="262"/>
      <c r="M34" s="238"/>
      <c r="N34" s="238"/>
      <c r="O34" s="65"/>
      <c r="P34" s="238"/>
      <c r="Q34" s="269"/>
      <c r="R34" s="269"/>
      <c r="S34" s="266"/>
      <c r="T34" s="296"/>
      <c r="U34" s="262"/>
    </row>
    <row r="35" spans="2:21" ht="12.75" customHeight="1" x14ac:dyDescent="0.2">
      <c r="B35" s="21"/>
      <c r="D35" s="238"/>
      <c r="E35" s="238"/>
      <c r="F35" s="238"/>
      <c r="G35" s="238"/>
      <c r="H35" s="238"/>
      <c r="I35" s="238"/>
      <c r="J35" s="238"/>
      <c r="K35" s="238"/>
      <c r="L35" s="262"/>
      <c r="M35" s="238"/>
      <c r="N35" s="238"/>
      <c r="O35" s="238"/>
      <c r="P35" s="238"/>
      <c r="Q35" s="238"/>
      <c r="R35" s="238"/>
      <c r="S35" s="238"/>
      <c r="T35" s="238"/>
      <c r="U35" s="262"/>
    </row>
    <row r="36" spans="2:21" ht="12.75" customHeight="1" x14ac:dyDescent="0.2">
      <c r="B36" s="21"/>
      <c r="D36" s="238"/>
      <c r="E36" s="238"/>
      <c r="F36" s="65"/>
      <c r="G36" s="238"/>
      <c r="H36" s="269"/>
      <c r="I36" s="269"/>
      <c r="J36" s="269"/>
      <c r="K36" s="274"/>
      <c r="L36" s="262"/>
      <c r="M36" s="238"/>
      <c r="N36" s="238"/>
      <c r="O36" s="65"/>
      <c r="P36" s="238"/>
      <c r="Q36" s="269"/>
      <c r="R36" s="269"/>
      <c r="S36" s="269"/>
      <c r="T36" s="274"/>
      <c r="U36" s="262"/>
    </row>
    <row r="37" spans="2:21" s="45" customFormat="1" ht="12.75" customHeight="1" x14ac:dyDescent="0.2">
      <c r="B37" s="10" t="s">
        <v>40</v>
      </c>
      <c r="D37" s="233"/>
      <c r="E37" s="233"/>
      <c r="F37" s="65"/>
      <c r="G37" s="233"/>
      <c r="H37" s="318"/>
      <c r="I37" s="318"/>
      <c r="J37" s="318"/>
      <c r="K37" s="324"/>
      <c r="L37" s="324"/>
      <c r="M37" s="233"/>
      <c r="N37" s="233"/>
      <c r="O37" s="65"/>
      <c r="P37" s="233"/>
      <c r="Q37" s="318"/>
      <c r="R37" s="318"/>
      <c r="S37" s="318"/>
      <c r="T37" s="324"/>
      <c r="U37" s="324"/>
    </row>
    <row r="38" spans="2:21" s="45" customFormat="1" ht="12.75" customHeight="1" x14ac:dyDescent="0.2">
      <c r="B38" s="375" t="s">
        <v>41</v>
      </c>
      <c r="C38" s="855" t="s">
        <v>442</v>
      </c>
      <c r="D38" s="821"/>
      <c r="E38" s="821"/>
      <c r="F38" s="821"/>
      <c r="G38" s="821"/>
      <c r="H38" s="821"/>
      <c r="I38" s="821"/>
      <c r="J38" s="821"/>
      <c r="K38" s="821"/>
      <c r="L38" s="821"/>
      <c r="M38" s="821"/>
      <c r="N38" s="821"/>
      <c r="O38" s="821"/>
      <c r="P38" s="821"/>
      <c r="Q38" s="821"/>
      <c r="R38" s="821"/>
      <c r="S38" s="821"/>
      <c r="T38" s="821"/>
    </row>
    <row r="39" spans="2:21" ht="12.75" customHeight="1" x14ac:dyDescent="0.2">
      <c r="B39" s="165" t="s">
        <v>43</v>
      </c>
      <c r="C39" s="860" t="s">
        <v>450</v>
      </c>
      <c r="D39" s="860"/>
      <c r="E39" s="860"/>
      <c r="F39" s="860"/>
      <c r="G39" s="860"/>
      <c r="H39" s="860"/>
      <c r="I39" s="860"/>
      <c r="J39" s="860"/>
      <c r="K39" s="860"/>
      <c r="L39" s="262"/>
      <c r="M39" s="269"/>
      <c r="N39" s="269"/>
      <c r="O39" s="269"/>
      <c r="P39" s="269"/>
      <c r="Q39" s="65"/>
      <c r="R39" s="65"/>
      <c r="S39" s="65"/>
      <c r="T39" s="65"/>
      <c r="U39" s="262"/>
    </row>
    <row r="40" spans="2:21" ht="12.75" customHeight="1" x14ac:dyDescent="0.2">
      <c r="B40" s="165" t="s">
        <v>124</v>
      </c>
      <c r="C40" s="860" t="s">
        <v>440</v>
      </c>
      <c r="D40" s="860"/>
      <c r="E40" s="860"/>
      <c r="F40" s="860"/>
      <c r="G40" s="860"/>
      <c r="H40" s="860"/>
      <c r="I40" s="860"/>
      <c r="J40" s="860"/>
      <c r="K40" s="860"/>
      <c r="M40" s="65"/>
      <c r="N40" s="65"/>
      <c r="O40" s="65"/>
      <c r="P40" s="65"/>
      <c r="Q40" s="65"/>
      <c r="T40" s="242"/>
    </row>
    <row r="41" spans="2:21" ht="12.75" customHeight="1" x14ac:dyDescent="0.2">
      <c r="B41" s="165" t="s">
        <v>139</v>
      </c>
      <c r="C41" s="784" t="s">
        <v>46</v>
      </c>
      <c r="D41" s="784"/>
      <c r="E41" s="784"/>
      <c r="F41" s="784"/>
      <c r="G41" s="784"/>
      <c r="H41" s="784"/>
      <c r="I41" s="784"/>
      <c r="J41" s="784"/>
      <c r="K41" s="784"/>
      <c r="M41" s="65"/>
      <c r="N41" s="65"/>
      <c r="O41" s="65"/>
      <c r="P41" s="65"/>
      <c r="Q41" s="65"/>
      <c r="T41" s="242"/>
    </row>
    <row r="42" spans="2:21" ht="12.75" customHeight="1" x14ac:dyDescent="0.2">
      <c r="B42" s="165" t="s">
        <v>140</v>
      </c>
      <c r="C42" s="784" t="s">
        <v>164</v>
      </c>
      <c r="D42" s="784"/>
      <c r="E42" s="784"/>
      <c r="F42" s="784"/>
      <c r="G42" s="784"/>
      <c r="H42" s="784"/>
      <c r="I42" s="784"/>
      <c r="J42" s="784"/>
      <c r="K42" s="784"/>
      <c r="M42" s="65"/>
      <c r="N42" s="65"/>
      <c r="O42" s="65"/>
      <c r="P42" s="65"/>
      <c r="Q42" s="65"/>
      <c r="T42" s="242"/>
    </row>
    <row r="43" spans="2:21" x14ac:dyDescent="0.2">
      <c r="B43" s="788" t="s">
        <v>163</v>
      </c>
      <c r="C43" s="784" t="s">
        <v>197</v>
      </c>
      <c r="D43" s="784"/>
      <c r="E43" s="784"/>
      <c r="F43" s="784"/>
      <c r="G43" s="784"/>
      <c r="H43" s="784"/>
      <c r="I43" s="784"/>
      <c r="J43" s="784"/>
      <c r="K43" s="784"/>
    </row>
  </sheetData>
  <sheetProtection formatCells="0" formatColumns="0" formatRows="0" sort="0" autoFilter="0" pivotTables="0"/>
  <mergeCells count="5">
    <mergeCell ref="M1:T1"/>
    <mergeCell ref="D1:K1"/>
    <mergeCell ref="C40:K40"/>
    <mergeCell ref="C39:K39"/>
    <mergeCell ref="C38:T38"/>
  </mergeCells>
  <conditionalFormatting sqref="K129:K130 E130:J131 D129:D130 D58:K59">
    <cfRule type="cellIs" dxfId="2" priority="1" stopIfTrue="1" operator="lessThan">
      <formula>0</formula>
    </cfRule>
  </conditionalFormatting>
  <conditionalFormatting sqref="T129:T130 N130:S131 M129:M130 M58:T59">
    <cfRule type="cellIs" dxfId="1" priority="2"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2" orientation="landscape" horizontalDpi="300" verticalDpi="300" r:id="rId1"/>
  <headerFooter alignWithMargins="0">
    <oddHeader>&amp;LVodafone Group Plc&amp;C13 Fixed broadband customers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1"/>
  <sheetViews>
    <sheetView showGridLines="0" workbookViewId="0"/>
  </sheetViews>
  <sheetFormatPr defaultRowHeight="12.75" x14ac:dyDescent="0.2"/>
  <cols>
    <col min="1" max="1" width="5.42578125" customWidth="1"/>
    <col min="2" max="2" width="22.28515625" customWidth="1"/>
    <col min="3" max="257" width="11.42578125" customWidth="1"/>
  </cols>
  <sheetData>
    <row r="1" spans="1:14" ht="17.25" customHeight="1" x14ac:dyDescent="0.2">
      <c r="A1" s="688" t="s">
        <v>414</v>
      </c>
      <c r="B1" s="325"/>
      <c r="C1" s="325"/>
      <c r="D1" s="326"/>
      <c r="E1" s="326"/>
      <c r="F1" s="326"/>
      <c r="G1" s="326"/>
      <c r="H1" s="326"/>
      <c r="I1" s="326"/>
      <c r="J1" s="326"/>
      <c r="K1" s="327"/>
      <c r="L1" s="327"/>
      <c r="M1" s="327"/>
      <c r="N1" s="327"/>
    </row>
    <row r="2" spans="1:14" x14ac:dyDescent="0.2">
      <c r="B2" s="867" t="s">
        <v>198</v>
      </c>
      <c r="C2" s="867"/>
      <c r="D2" s="867"/>
      <c r="E2" s="329"/>
      <c r="F2" s="326"/>
      <c r="G2" s="326"/>
      <c r="H2" s="326"/>
      <c r="I2" s="326"/>
      <c r="J2" s="326"/>
      <c r="K2" s="327"/>
      <c r="L2" s="327"/>
      <c r="M2" s="327"/>
      <c r="N2" s="327"/>
    </row>
    <row r="3" spans="1:14" ht="3.75" customHeight="1" x14ac:dyDescent="0.2">
      <c r="B3" s="328"/>
      <c r="C3" s="328"/>
      <c r="D3" s="328"/>
      <c r="E3" s="326"/>
      <c r="F3" s="326"/>
      <c r="G3" s="326"/>
      <c r="H3" s="326"/>
      <c r="I3" s="326"/>
      <c r="J3" s="326"/>
      <c r="K3" s="327"/>
      <c r="L3" s="327"/>
      <c r="M3" s="327"/>
      <c r="N3" s="327"/>
    </row>
    <row r="4" spans="1:14" x14ac:dyDescent="0.2">
      <c r="B4" s="325"/>
      <c r="C4" s="868" t="s">
        <v>98</v>
      </c>
      <c r="D4" s="869"/>
      <c r="E4" s="870"/>
      <c r="F4" s="868" t="s">
        <v>51</v>
      </c>
      <c r="G4" s="869"/>
      <c r="H4" s="869"/>
      <c r="I4" s="868" t="s">
        <v>199</v>
      </c>
      <c r="J4" s="869"/>
      <c r="K4" s="870"/>
      <c r="L4" s="327"/>
      <c r="M4" s="327"/>
      <c r="N4" s="327"/>
    </row>
    <row r="5" spans="1:14" x14ac:dyDescent="0.2">
      <c r="B5" s="325"/>
      <c r="C5" s="330" t="s">
        <v>200</v>
      </c>
      <c r="D5" s="331" t="s">
        <v>201</v>
      </c>
      <c r="E5" s="332" t="s">
        <v>202</v>
      </c>
      <c r="F5" s="330" t="s">
        <v>200</v>
      </c>
      <c r="G5" s="331" t="s">
        <v>201</v>
      </c>
      <c r="H5" s="331" t="s">
        <v>202</v>
      </c>
      <c r="I5" s="330" t="s">
        <v>200</v>
      </c>
      <c r="J5" s="331" t="s">
        <v>201</v>
      </c>
      <c r="K5" s="332" t="s">
        <v>202</v>
      </c>
      <c r="L5" s="327"/>
      <c r="M5" s="327"/>
      <c r="N5" s="327"/>
    </row>
    <row r="6" spans="1:14" x14ac:dyDescent="0.2">
      <c r="B6" s="333" t="s">
        <v>203</v>
      </c>
      <c r="C6" s="334">
        <v>1.1399999999999999</v>
      </c>
      <c r="D6" s="335">
        <v>1.18</v>
      </c>
      <c r="E6" s="336">
        <v>1.1599999999999999</v>
      </c>
      <c r="F6" s="334">
        <v>1.25</v>
      </c>
      <c r="G6" s="335">
        <v>1.21</v>
      </c>
      <c r="H6" s="335">
        <v>1.23</v>
      </c>
      <c r="I6" s="334">
        <v>1.17</v>
      </c>
      <c r="J6" s="777">
        <v>1.2</v>
      </c>
      <c r="K6" s="778">
        <v>1.19</v>
      </c>
      <c r="L6" s="327"/>
      <c r="M6" s="327"/>
      <c r="N6" s="327"/>
    </row>
    <row r="7" spans="1:14" x14ac:dyDescent="0.2">
      <c r="B7" s="333" t="s">
        <v>204</v>
      </c>
      <c r="C7" s="337">
        <v>1.62</v>
      </c>
      <c r="D7" s="338">
        <v>1.57</v>
      </c>
      <c r="E7" s="339">
        <v>1.6</v>
      </c>
      <c r="F7" s="337">
        <v>1.58</v>
      </c>
      <c r="G7" s="338">
        <v>1.58</v>
      </c>
      <c r="H7" s="338">
        <v>1.58</v>
      </c>
      <c r="I7" s="337">
        <v>1.54</v>
      </c>
      <c r="J7" s="779">
        <v>1.64</v>
      </c>
      <c r="K7" s="780">
        <v>1.59</v>
      </c>
      <c r="L7" s="327"/>
      <c r="M7" s="327"/>
      <c r="N7" s="327"/>
    </row>
    <row r="8" spans="1:14" x14ac:dyDescent="0.2">
      <c r="B8" s="333" t="s">
        <v>205</v>
      </c>
      <c r="C8" s="337">
        <v>9.65</v>
      </c>
      <c r="D8" s="338">
        <v>9.4499999999999993</v>
      </c>
      <c r="E8" s="339">
        <v>9.5500000000000007</v>
      </c>
      <c r="F8" s="337">
        <v>9.59</v>
      </c>
      <c r="G8" s="338">
        <v>10.1</v>
      </c>
      <c r="H8" s="338">
        <v>9.84</v>
      </c>
      <c r="I8" s="337">
        <v>10.74</v>
      </c>
      <c r="J8" s="779">
        <v>11.34</v>
      </c>
      <c r="K8" s="780">
        <v>11.04</v>
      </c>
      <c r="L8" s="327"/>
      <c r="M8" s="327"/>
      <c r="N8" s="327"/>
    </row>
    <row r="9" spans="1:14" x14ac:dyDescent="0.2">
      <c r="B9" s="333" t="s">
        <v>206</v>
      </c>
      <c r="C9" s="337">
        <v>73.28</v>
      </c>
      <c r="D9" s="338">
        <v>79.42</v>
      </c>
      <c r="E9" s="339">
        <v>76.349999999999994</v>
      </c>
      <c r="F9" s="337">
        <v>86.31</v>
      </c>
      <c r="G9" s="338">
        <v>85.52</v>
      </c>
      <c r="H9" s="338">
        <v>85.92</v>
      </c>
      <c r="I9" s="337">
        <v>91.23</v>
      </c>
      <c r="J9" s="779">
        <v>101.28</v>
      </c>
      <c r="K9" s="780">
        <v>96.25</v>
      </c>
      <c r="L9" s="327"/>
      <c r="M9" s="327"/>
      <c r="N9" s="327"/>
    </row>
    <row r="10" spans="1:14" x14ac:dyDescent="0.2">
      <c r="B10" s="333" t="s">
        <v>207</v>
      </c>
      <c r="C10" s="337">
        <v>2.68</v>
      </c>
      <c r="D10" s="338">
        <v>2.86</v>
      </c>
      <c r="E10" s="339">
        <v>2.77</v>
      </c>
      <c r="F10" s="337">
        <v>2.86</v>
      </c>
      <c r="G10" s="338">
        <v>2.83</v>
      </c>
      <c r="H10" s="338">
        <v>2.84</v>
      </c>
      <c r="I10" s="337">
        <v>2.94</v>
      </c>
      <c r="J10" s="779">
        <v>3.47</v>
      </c>
      <c r="K10" s="780">
        <v>3.21</v>
      </c>
      <c r="L10" s="327"/>
      <c r="M10" s="327"/>
      <c r="N10" s="327"/>
    </row>
    <row r="11" spans="1:14" x14ac:dyDescent="0.2">
      <c r="B11" s="333" t="s">
        <v>208</v>
      </c>
      <c r="C11" s="340">
        <v>11.29</v>
      </c>
      <c r="D11" s="341">
        <v>12.46</v>
      </c>
      <c r="E11" s="342">
        <v>11.87</v>
      </c>
      <c r="F11" s="340">
        <v>12.96</v>
      </c>
      <c r="G11" s="341">
        <v>13.92</v>
      </c>
      <c r="H11" s="341">
        <v>13.44</v>
      </c>
      <c r="I11" s="340">
        <v>15.04</v>
      </c>
      <c r="J11" s="781">
        <v>17.21</v>
      </c>
      <c r="K11" s="782">
        <v>16.13</v>
      </c>
      <c r="L11" s="327"/>
      <c r="M11" s="327"/>
      <c r="N11" s="327"/>
    </row>
    <row r="12" spans="1:14" ht="3.75" customHeight="1" x14ac:dyDescent="0.2">
      <c r="B12" s="325"/>
      <c r="C12" s="325"/>
      <c r="D12" s="326"/>
      <c r="E12" s="326"/>
      <c r="F12" s="326"/>
      <c r="G12" s="326"/>
      <c r="H12" s="326"/>
      <c r="I12" s="326"/>
      <c r="J12" s="326"/>
      <c r="K12" s="327"/>
      <c r="L12" s="327"/>
      <c r="M12" s="327"/>
      <c r="N12" s="327"/>
    </row>
    <row r="13" spans="1:14" x14ac:dyDescent="0.2">
      <c r="B13" s="325"/>
      <c r="C13" s="868" t="s">
        <v>98</v>
      </c>
      <c r="D13" s="869"/>
      <c r="E13" s="869"/>
      <c r="F13" s="870"/>
      <c r="G13" s="868" t="s">
        <v>51</v>
      </c>
      <c r="H13" s="869"/>
      <c r="I13" s="869"/>
      <c r="J13" s="869"/>
      <c r="K13" s="864" t="s">
        <v>199</v>
      </c>
      <c r="L13" s="865"/>
      <c r="M13" s="865"/>
      <c r="N13" s="866"/>
    </row>
    <row r="14" spans="1:14" x14ac:dyDescent="0.2">
      <c r="B14" s="325"/>
      <c r="C14" s="343" t="s">
        <v>209</v>
      </c>
      <c r="D14" s="344" t="s">
        <v>210</v>
      </c>
      <c r="E14" s="344" t="s">
        <v>211</v>
      </c>
      <c r="F14" s="345" t="s">
        <v>212</v>
      </c>
      <c r="G14" s="343" t="s">
        <v>209</v>
      </c>
      <c r="H14" s="344" t="s">
        <v>210</v>
      </c>
      <c r="I14" s="344" t="s">
        <v>211</v>
      </c>
      <c r="J14" s="344" t="s">
        <v>212</v>
      </c>
      <c r="K14" s="330" t="s">
        <v>209</v>
      </c>
      <c r="L14" s="331" t="s">
        <v>210</v>
      </c>
      <c r="M14" s="331" t="s">
        <v>211</v>
      </c>
      <c r="N14" s="332" t="s">
        <v>212</v>
      </c>
    </row>
    <row r="15" spans="1:14" x14ac:dyDescent="0.2">
      <c r="B15" s="333" t="s">
        <v>203</v>
      </c>
      <c r="C15" s="334">
        <v>1.1299999999999999</v>
      </c>
      <c r="D15" s="346">
        <v>1.1399999999999999</v>
      </c>
      <c r="E15" s="331">
        <v>1.17</v>
      </c>
      <c r="F15" s="336">
        <v>1.2</v>
      </c>
      <c r="G15" s="334">
        <v>1.23</v>
      </c>
      <c r="H15" s="346">
        <v>1.26</v>
      </c>
      <c r="I15" s="347">
        <v>1.24</v>
      </c>
      <c r="J15" s="335">
        <v>1.17</v>
      </c>
      <c r="K15" s="334">
        <v>1.18</v>
      </c>
      <c r="L15" s="346">
        <v>1.17</v>
      </c>
      <c r="M15" s="346">
        <v>1.19</v>
      </c>
      <c r="N15" s="785">
        <v>1.21</v>
      </c>
    </row>
    <row r="16" spans="1:14" x14ac:dyDescent="0.2">
      <c r="B16" s="333" t="s">
        <v>204</v>
      </c>
      <c r="C16" s="337">
        <v>1.63</v>
      </c>
      <c r="D16" s="348">
        <v>1.61</v>
      </c>
      <c r="E16" s="349">
        <v>1.57</v>
      </c>
      <c r="F16" s="339">
        <v>1.57</v>
      </c>
      <c r="G16" s="337">
        <v>1.58</v>
      </c>
      <c r="H16" s="348">
        <v>1.58</v>
      </c>
      <c r="I16" s="347">
        <v>1.61</v>
      </c>
      <c r="J16" s="338">
        <v>1.55</v>
      </c>
      <c r="K16" s="337">
        <v>1.54</v>
      </c>
      <c r="L16" s="348">
        <v>1.55</v>
      </c>
      <c r="M16" s="348">
        <v>1.62</v>
      </c>
      <c r="N16" s="786">
        <v>1.66</v>
      </c>
    </row>
    <row r="17" spans="2:14" x14ac:dyDescent="0.2">
      <c r="B17" s="333" t="s">
        <v>205</v>
      </c>
      <c r="C17" s="337">
        <v>9.7100000000000009</v>
      </c>
      <c r="D17" s="348">
        <v>9.59</v>
      </c>
      <c r="E17" s="338">
        <v>9.42</v>
      </c>
      <c r="F17" s="350">
        <v>9.48</v>
      </c>
      <c r="G17" s="337">
        <v>9.56</v>
      </c>
      <c r="H17" s="348">
        <v>9.61</v>
      </c>
      <c r="I17" s="347">
        <v>9.84</v>
      </c>
      <c r="J17" s="349">
        <v>10.37</v>
      </c>
      <c r="K17" s="337">
        <v>10.68</v>
      </c>
      <c r="L17" s="348">
        <v>10.81</v>
      </c>
      <c r="M17" s="348">
        <v>11.16</v>
      </c>
      <c r="N17" s="786">
        <v>11.52</v>
      </c>
    </row>
    <row r="18" spans="2:14" x14ac:dyDescent="0.2">
      <c r="B18" s="333" t="s">
        <v>206</v>
      </c>
      <c r="C18" s="337">
        <v>72.89</v>
      </c>
      <c r="D18" s="348">
        <v>73.67</v>
      </c>
      <c r="E18" s="349">
        <v>79.92</v>
      </c>
      <c r="F18" s="339">
        <v>78.92</v>
      </c>
      <c r="G18" s="337">
        <v>85.49</v>
      </c>
      <c r="H18" s="348">
        <v>87.12</v>
      </c>
      <c r="I18" s="347">
        <v>87.02</v>
      </c>
      <c r="J18" s="338">
        <v>84.03</v>
      </c>
      <c r="K18" s="337">
        <v>85.93</v>
      </c>
      <c r="L18" s="348">
        <v>96.53</v>
      </c>
      <c r="M18" s="348">
        <v>100.41</v>
      </c>
      <c r="N18" s="786">
        <v>102.15</v>
      </c>
    </row>
    <row r="19" spans="2:14" x14ac:dyDescent="0.2">
      <c r="B19" s="333" t="s">
        <v>207</v>
      </c>
      <c r="C19" s="337">
        <v>2.56</v>
      </c>
      <c r="D19" s="348">
        <v>2.79</v>
      </c>
      <c r="E19" s="349">
        <v>2.89</v>
      </c>
      <c r="F19" s="350">
        <v>2.82</v>
      </c>
      <c r="G19" s="337">
        <v>2.86</v>
      </c>
      <c r="H19" s="348">
        <v>2.85</v>
      </c>
      <c r="I19" s="347">
        <v>2.88</v>
      </c>
      <c r="J19" s="349">
        <v>2.77</v>
      </c>
      <c r="K19" s="337">
        <v>2.83</v>
      </c>
      <c r="L19" s="348">
        <v>3.06</v>
      </c>
      <c r="M19" s="348">
        <v>3.28</v>
      </c>
      <c r="N19" s="786">
        <v>3.66</v>
      </c>
    </row>
    <row r="20" spans="2:14" x14ac:dyDescent="0.2">
      <c r="B20" s="333" t="s">
        <v>208</v>
      </c>
      <c r="C20" s="340">
        <v>11.08</v>
      </c>
      <c r="D20" s="351">
        <v>11.5</v>
      </c>
      <c r="E20" s="341">
        <v>12.73</v>
      </c>
      <c r="F20" s="352">
        <v>12.18</v>
      </c>
      <c r="G20" s="340">
        <v>12.87</v>
      </c>
      <c r="H20" s="351">
        <v>13.05</v>
      </c>
      <c r="I20" s="353">
        <v>13.96</v>
      </c>
      <c r="J20" s="354">
        <v>13.88</v>
      </c>
      <c r="K20" s="340">
        <v>14.58</v>
      </c>
      <c r="L20" s="351">
        <v>15.5</v>
      </c>
      <c r="M20" s="351">
        <v>16.46</v>
      </c>
      <c r="N20" s="787">
        <v>17.97</v>
      </c>
    </row>
    <row r="21" spans="2:14" ht="6" customHeight="1" x14ac:dyDescent="0.2">
      <c r="B21" s="325"/>
      <c r="C21" s="355"/>
      <c r="D21" s="349"/>
      <c r="E21" s="349"/>
      <c r="F21" s="349"/>
      <c r="G21" s="349"/>
      <c r="H21" s="349"/>
      <c r="I21" s="349"/>
      <c r="J21" s="349"/>
      <c r="K21" s="327"/>
      <c r="L21" s="327"/>
      <c r="M21" s="327"/>
      <c r="N21" s="327"/>
    </row>
    <row r="22" spans="2:14" x14ac:dyDescent="0.2">
      <c r="B22" s="867" t="s">
        <v>213</v>
      </c>
      <c r="C22" s="867"/>
      <c r="D22" s="867"/>
      <c r="E22" s="326"/>
      <c r="F22" s="326"/>
      <c r="G22" s="326"/>
      <c r="H22" s="326"/>
      <c r="I22" s="326"/>
      <c r="J22" s="326"/>
      <c r="K22" s="327"/>
      <c r="L22" s="327"/>
      <c r="M22" s="327"/>
      <c r="N22" s="327"/>
    </row>
    <row r="23" spans="2:14" ht="3.75" customHeight="1" x14ac:dyDescent="0.2">
      <c r="B23" s="328"/>
      <c r="C23" s="328"/>
      <c r="D23" s="328"/>
      <c r="E23" s="326"/>
      <c r="F23" s="326"/>
      <c r="G23" s="326"/>
      <c r="H23" s="326"/>
      <c r="I23" s="326"/>
      <c r="J23" s="326"/>
      <c r="K23" s="327"/>
      <c r="L23" s="327"/>
      <c r="M23" s="327"/>
      <c r="N23" s="327"/>
    </row>
    <row r="24" spans="2:14" x14ac:dyDescent="0.2">
      <c r="B24" s="325"/>
      <c r="C24" s="356" t="s">
        <v>51</v>
      </c>
      <c r="D24" s="356" t="s">
        <v>199</v>
      </c>
      <c r="E24" s="356" t="s">
        <v>408</v>
      </c>
      <c r="F24" s="326"/>
      <c r="G24" s="326"/>
      <c r="H24" s="326"/>
      <c r="I24" s="326"/>
      <c r="J24" s="326"/>
      <c r="K24" s="327"/>
      <c r="L24" s="327"/>
      <c r="M24" s="327"/>
      <c r="N24" s="327"/>
    </row>
    <row r="25" spans="2:14" x14ac:dyDescent="0.2">
      <c r="B25" s="333" t="s">
        <v>203</v>
      </c>
      <c r="C25" s="357">
        <v>1.2</v>
      </c>
      <c r="D25" s="357">
        <v>1.17</v>
      </c>
      <c r="E25" s="775">
        <v>1.19</v>
      </c>
      <c r="F25" s="326"/>
      <c r="G25" s="326"/>
      <c r="H25" s="326"/>
      <c r="I25" s="326"/>
      <c r="J25" s="326"/>
      <c r="K25" s="327"/>
      <c r="L25" s="327"/>
      <c r="M25" s="327"/>
      <c r="N25" s="327"/>
    </row>
    <row r="26" spans="2:14" x14ac:dyDescent="0.2">
      <c r="B26" s="333" t="s">
        <v>204</v>
      </c>
      <c r="C26" s="357">
        <v>1.53</v>
      </c>
      <c r="D26" s="357">
        <v>1.52</v>
      </c>
      <c r="E26" s="775">
        <v>1.61</v>
      </c>
      <c r="F26" s="326"/>
      <c r="G26" s="326"/>
      <c r="H26" s="326"/>
      <c r="I26" s="326"/>
      <c r="J26" s="326"/>
      <c r="K26" s="327"/>
      <c r="L26" s="327"/>
      <c r="M26" s="327"/>
      <c r="N26" s="327"/>
    </row>
    <row r="27" spans="2:14" x14ac:dyDescent="0.2">
      <c r="B27" s="333" t="s">
        <v>205</v>
      </c>
      <c r="C27" s="357">
        <v>9.82</v>
      </c>
      <c r="D27" s="357">
        <v>11</v>
      </c>
      <c r="E27" s="775">
        <v>12.21</v>
      </c>
      <c r="F27" s="326"/>
      <c r="G27" s="326"/>
      <c r="H27" s="326"/>
      <c r="I27" s="326"/>
      <c r="J27" s="326"/>
      <c r="K27" s="327"/>
      <c r="L27" s="327"/>
      <c r="M27" s="327"/>
      <c r="N27" s="327"/>
    </row>
    <row r="28" spans="2:14" x14ac:dyDescent="0.2">
      <c r="B28" s="333" t="s">
        <v>206</v>
      </c>
      <c r="C28" s="357">
        <v>81.86</v>
      </c>
      <c r="D28" s="357">
        <v>84.9</v>
      </c>
      <c r="E28" s="775">
        <v>107.48</v>
      </c>
      <c r="F28" s="326"/>
      <c r="G28" s="326"/>
      <c r="H28" s="326"/>
      <c r="I28" s="326"/>
      <c r="J28" s="326"/>
      <c r="K28" s="327"/>
      <c r="L28" s="327"/>
      <c r="M28" s="327"/>
      <c r="N28" s="327"/>
    </row>
    <row r="29" spans="2:14" x14ac:dyDescent="0.2">
      <c r="B29" s="333" t="s">
        <v>207</v>
      </c>
      <c r="C29" s="357">
        <v>3.04</v>
      </c>
      <c r="D29" s="357">
        <v>2.8</v>
      </c>
      <c r="E29" s="775">
        <v>3.43</v>
      </c>
      <c r="F29" s="326"/>
      <c r="G29" s="326"/>
      <c r="H29" s="326"/>
      <c r="I29" s="326"/>
      <c r="J29" s="326"/>
      <c r="K29" s="327"/>
      <c r="L29" s="327"/>
      <c r="M29" s="327"/>
      <c r="N29" s="327"/>
    </row>
    <row r="30" spans="2:14" x14ac:dyDescent="0.2">
      <c r="B30" s="333" t="s">
        <v>208</v>
      </c>
      <c r="C30" s="358">
        <v>12.94</v>
      </c>
      <c r="D30" s="358">
        <v>14.3</v>
      </c>
      <c r="E30" s="776">
        <v>16.95</v>
      </c>
      <c r="F30" s="326"/>
      <c r="G30" s="326"/>
      <c r="H30" s="326"/>
      <c r="I30" s="326"/>
      <c r="J30" s="326"/>
      <c r="K30" s="327"/>
      <c r="L30" s="327"/>
      <c r="M30" s="327"/>
      <c r="N30" s="327"/>
    </row>
    <row r="31" spans="2:14" x14ac:dyDescent="0.2">
      <c r="E31" s="326"/>
    </row>
  </sheetData>
  <sheetProtection formatCells="0" formatColumns="0" formatRows="0" sort="0" autoFilter="0" pivotTables="0"/>
  <mergeCells count="8">
    <mergeCell ref="K13:N13"/>
    <mergeCell ref="B2:D2"/>
    <mergeCell ref="C13:F13"/>
    <mergeCell ref="B22:D22"/>
    <mergeCell ref="G13:J13"/>
    <mergeCell ref="C4:E4"/>
    <mergeCell ref="F4:H4"/>
    <mergeCell ref="I4:K4"/>
  </mergeCells>
  <hyperlinks>
    <hyperlink ref="A1" location="Index!A1" display="Index"/>
  </hyperlinks>
  <pageMargins left="0.74803149606299213" right="0.74803149606299213" top="0.98425196850393704" bottom="0.98425196850393704" header="0.51181102362204722" footer="0.51181102362204722"/>
  <pageSetup paperSize="9" orientation="landscape" r:id="rId1"/>
  <headerFooter alignWithMargins="0">
    <oddHeader>&amp;L&amp;"Vodafone Rg,Regular"Vodafone Group Plc&amp;C&amp;"Vodafone Rg,Regular"14 Average foreign exchange rates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61"/>
  <sheetViews>
    <sheetView showGridLines="0" workbookViewId="0"/>
  </sheetViews>
  <sheetFormatPr defaultRowHeight="12.75" x14ac:dyDescent="0.2"/>
  <cols>
    <col min="1" max="1" width="27" style="363" customWidth="1"/>
    <col min="2" max="2" width="91.7109375" style="363" customWidth="1"/>
    <col min="3" max="7" width="9.140625" style="363" customWidth="1"/>
    <col min="8" max="8" width="14.28515625" style="363" customWidth="1"/>
    <col min="9" max="9" width="1.7109375" style="363" customWidth="1"/>
    <col min="10" max="10" width="14.28515625" style="363" customWidth="1"/>
    <col min="11" max="16" width="9.140625" style="363" customWidth="1"/>
    <col min="17" max="17" width="9.140625" customWidth="1"/>
    <col min="18" max="18" width="9.140625" style="363" customWidth="1"/>
    <col min="19" max="256" width="11.42578125" style="363" customWidth="1"/>
    <col min="257" max="16384" width="9.140625" style="363"/>
  </cols>
  <sheetData>
    <row r="1" spans="1:2" x14ac:dyDescent="0.2">
      <c r="A1" s="688" t="s">
        <v>414</v>
      </c>
    </row>
    <row r="2" spans="1:2" x14ac:dyDescent="0.2">
      <c r="A2" s="688"/>
    </row>
    <row r="3" spans="1:2" ht="14.25" x14ac:dyDescent="0.2">
      <c r="A3" s="689" t="s">
        <v>214</v>
      </c>
      <c r="B3" s="812"/>
    </row>
    <row r="4" spans="1:2" x14ac:dyDescent="0.2">
      <c r="A4" s="359"/>
      <c r="B4" s="813"/>
    </row>
    <row r="5" spans="1:2" s="360" customFormat="1" ht="25.5" x14ac:dyDescent="0.2">
      <c r="A5" s="361" t="s">
        <v>215</v>
      </c>
      <c r="B5" s="362" t="s">
        <v>216</v>
      </c>
    </row>
    <row r="6" spans="1:2" x14ac:dyDescent="0.2">
      <c r="A6" s="361"/>
      <c r="B6" s="362"/>
    </row>
    <row r="7" spans="1:2" x14ac:dyDescent="0.2">
      <c r="A7" s="361" t="s">
        <v>217</v>
      </c>
      <c r="B7" s="362" t="s">
        <v>218</v>
      </c>
    </row>
    <row r="8" spans="1:2" x14ac:dyDescent="0.2">
      <c r="A8" s="361"/>
      <c r="B8" s="362"/>
    </row>
    <row r="9" spans="1:2" ht="38.25" x14ac:dyDescent="0.2">
      <c r="A9" s="361" t="s">
        <v>64</v>
      </c>
      <c r="B9" s="362" t="s">
        <v>494</v>
      </c>
    </row>
    <row r="10" spans="1:2" x14ac:dyDescent="0.2">
      <c r="A10" s="361"/>
      <c r="B10" s="362"/>
    </row>
    <row r="11" spans="1:2" ht="25.5" x14ac:dyDescent="0.2">
      <c r="A11" s="361" t="s">
        <v>219</v>
      </c>
      <c r="B11" s="362" t="s">
        <v>220</v>
      </c>
    </row>
    <row r="12" spans="1:2" x14ac:dyDescent="0.2">
      <c r="A12" s="361"/>
      <c r="B12" s="362"/>
    </row>
    <row r="13" spans="1:2" ht="25.5" x14ac:dyDescent="0.2">
      <c r="A13" s="361" t="s">
        <v>221</v>
      </c>
      <c r="B13" s="362" t="s">
        <v>222</v>
      </c>
    </row>
    <row r="14" spans="1:2" x14ac:dyDescent="0.2">
      <c r="A14" s="361"/>
      <c r="B14" s="362"/>
    </row>
    <row r="15" spans="1:2" x14ac:dyDescent="0.2">
      <c r="A15" s="361" t="s">
        <v>223</v>
      </c>
      <c r="B15" s="362" t="s">
        <v>224</v>
      </c>
    </row>
    <row r="16" spans="1:2" x14ac:dyDescent="0.2">
      <c r="A16" s="361"/>
      <c r="B16" s="362"/>
    </row>
    <row r="17" spans="1:2" ht="25.5" x14ac:dyDescent="0.2">
      <c r="A17" s="361" t="s">
        <v>225</v>
      </c>
      <c r="B17" s="362" t="s">
        <v>226</v>
      </c>
    </row>
    <row r="18" spans="1:2" x14ac:dyDescent="0.2">
      <c r="A18" s="361"/>
      <c r="B18" s="362"/>
    </row>
    <row r="19" spans="1:2" ht="38.25" x14ac:dyDescent="0.2">
      <c r="A19" s="361" t="s">
        <v>56</v>
      </c>
      <c r="B19" s="362" t="s">
        <v>227</v>
      </c>
    </row>
    <row r="20" spans="1:2" x14ac:dyDescent="0.2">
      <c r="A20" s="361"/>
      <c r="B20" s="362"/>
    </row>
    <row r="21" spans="1:2" ht="25.5" x14ac:dyDescent="0.2">
      <c r="A21" s="361" t="s">
        <v>228</v>
      </c>
      <c r="B21" s="362" t="s">
        <v>192</v>
      </c>
    </row>
    <row r="22" spans="1:2" x14ac:dyDescent="0.2">
      <c r="A22" s="361"/>
      <c r="B22" s="362"/>
    </row>
    <row r="23" spans="1:2" ht="25.5" x14ac:dyDescent="0.2">
      <c r="A23" s="361" t="s">
        <v>229</v>
      </c>
      <c r="B23" s="362" t="s">
        <v>230</v>
      </c>
    </row>
    <row r="24" spans="1:2" x14ac:dyDescent="0.2">
      <c r="A24" s="361"/>
      <c r="B24" s="362"/>
    </row>
    <row r="25" spans="1:2" x14ac:dyDescent="0.2">
      <c r="A25" s="361" t="s">
        <v>55</v>
      </c>
      <c r="B25" s="362" t="s">
        <v>231</v>
      </c>
    </row>
    <row r="26" spans="1:2" x14ac:dyDescent="0.2">
      <c r="A26" s="361"/>
      <c r="B26" s="362"/>
    </row>
    <row r="27" spans="1:2" ht="63.75" x14ac:dyDescent="0.2">
      <c r="A27" s="361" t="s">
        <v>58</v>
      </c>
      <c r="B27" s="362" t="s">
        <v>495</v>
      </c>
    </row>
    <row r="28" spans="1:2" x14ac:dyDescent="0.2">
      <c r="A28" s="361"/>
      <c r="B28" s="362"/>
    </row>
    <row r="29" spans="1:2" ht="76.5" customHeight="1" x14ac:dyDescent="0.2">
      <c r="A29" s="361" t="s">
        <v>110</v>
      </c>
      <c r="B29" s="362" t="s">
        <v>496</v>
      </c>
    </row>
    <row r="30" spans="1:2" x14ac:dyDescent="0.2">
      <c r="A30" s="361"/>
      <c r="B30" s="362"/>
    </row>
    <row r="31" spans="1:2" ht="25.5" x14ac:dyDescent="0.2">
      <c r="A31" s="361" t="s">
        <v>232</v>
      </c>
      <c r="B31" s="362" t="s">
        <v>233</v>
      </c>
    </row>
    <row r="32" spans="1:2" x14ac:dyDescent="0.2">
      <c r="A32" s="361"/>
      <c r="B32" s="362"/>
    </row>
    <row r="33" spans="1:2" ht="63.75" x14ac:dyDescent="0.2">
      <c r="A33" s="361" t="s">
        <v>234</v>
      </c>
      <c r="B33" s="362" t="s">
        <v>235</v>
      </c>
    </row>
    <row r="34" spans="1:2" x14ac:dyDescent="0.2">
      <c r="A34" s="361"/>
      <c r="B34" s="362"/>
    </row>
    <row r="35" spans="1:2" ht="25.5" x14ac:dyDescent="0.2">
      <c r="A35" s="361" t="s">
        <v>19</v>
      </c>
      <c r="B35" s="362" t="s">
        <v>236</v>
      </c>
    </row>
    <row r="36" spans="1:2" x14ac:dyDescent="0.2">
      <c r="A36" s="361"/>
      <c r="B36" s="362"/>
    </row>
    <row r="37" spans="1:2" ht="25.5" x14ac:dyDescent="0.2">
      <c r="A37" s="361" t="s">
        <v>237</v>
      </c>
      <c r="B37" s="362" t="s">
        <v>238</v>
      </c>
    </row>
    <row r="38" spans="1:2" x14ac:dyDescent="0.2">
      <c r="A38" s="361"/>
      <c r="B38" s="362"/>
    </row>
    <row r="39" spans="1:2" ht="25.5" x14ac:dyDescent="0.2">
      <c r="A39" s="361" t="s">
        <v>239</v>
      </c>
      <c r="B39" s="362" t="s">
        <v>240</v>
      </c>
    </row>
    <row r="40" spans="1:2" x14ac:dyDescent="0.2">
      <c r="A40" s="361"/>
      <c r="B40" s="362"/>
    </row>
    <row r="41" spans="1:2" x14ac:dyDescent="0.2">
      <c r="A41" s="361" t="s">
        <v>24</v>
      </c>
      <c r="B41" s="362" t="s">
        <v>241</v>
      </c>
    </row>
    <row r="42" spans="1:2" x14ac:dyDescent="0.2">
      <c r="A42" s="361"/>
      <c r="B42" s="362"/>
    </row>
    <row r="43" spans="1:2" ht="25.5" x14ac:dyDescent="0.2">
      <c r="A43" s="361" t="s">
        <v>242</v>
      </c>
      <c r="B43" s="362" t="s">
        <v>243</v>
      </c>
    </row>
    <row r="44" spans="1:2" x14ac:dyDescent="0.2">
      <c r="A44" s="361"/>
      <c r="B44" s="362"/>
    </row>
    <row r="45" spans="1:2" x14ac:dyDescent="0.2">
      <c r="A45" s="361" t="s">
        <v>244</v>
      </c>
      <c r="B45" s="362" t="s">
        <v>245</v>
      </c>
    </row>
    <row r="46" spans="1:2" x14ac:dyDescent="0.2">
      <c r="A46" s="361"/>
      <c r="B46" s="362"/>
    </row>
    <row r="47" spans="1:2" ht="25.5" x14ac:dyDescent="0.2">
      <c r="A47" s="361" t="s">
        <v>105</v>
      </c>
      <c r="B47" s="362" t="s">
        <v>246</v>
      </c>
    </row>
    <row r="48" spans="1:2" x14ac:dyDescent="0.2">
      <c r="A48" s="361"/>
      <c r="B48" s="362"/>
    </row>
    <row r="49" spans="1:2" ht="117.75" customHeight="1" x14ac:dyDescent="0.2">
      <c r="A49" s="361" t="s">
        <v>247</v>
      </c>
      <c r="B49" s="362" t="s">
        <v>248</v>
      </c>
    </row>
    <row r="50" spans="1:2" x14ac:dyDescent="0.2">
      <c r="B50" s="362"/>
    </row>
    <row r="51" spans="1:2" x14ac:dyDescent="0.2">
      <c r="A51" s="361" t="s">
        <v>249</v>
      </c>
      <c r="B51" s="362" t="s">
        <v>250</v>
      </c>
    </row>
    <row r="52" spans="1:2" x14ac:dyDescent="0.2">
      <c r="A52" s="361"/>
      <c r="B52" s="362"/>
    </row>
    <row r="53" spans="1:2" ht="25.5" x14ac:dyDescent="0.2">
      <c r="A53" s="361" t="s">
        <v>251</v>
      </c>
      <c r="B53" s="362" t="s">
        <v>252</v>
      </c>
    </row>
    <row r="54" spans="1:2" x14ac:dyDescent="0.2">
      <c r="A54" s="361"/>
      <c r="B54" s="362"/>
    </row>
    <row r="55" spans="1:2" x14ac:dyDescent="0.2">
      <c r="A55" s="361" t="s">
        <v>253</v>
      </c>
      <c r="B55" s="362" t="s">
        <v>254</v>
      </c>
    </row>
    <row r="56" spans="1:2" x14ac:dyDescent="0.2">
      <c r="A56" s="361"/>
      <c r="B56" s="362"/>
    </row>
    <row r="57" spans="1:2" ht="38.25" x14ac:dyDescent="0.2">
      <c r="A57" s="361" t="s">
        <v>28</v>
      </c>
      <c r="B57" s="362" t="s">
        <v>255</v>
      </c>
    </row>
    <row r="59" spans="1:2" x14ac:dyDescent="0.2">
      <c r="A59" s="361" t="s">
        <v>256</v>
      </c>
      <c r="B59" s="362" t="s">
        <v>257</v>
      </c>
    </row>
    <row r="61" spans="1:2" x14ac:dyDescent="0.2">
      <c r="A61" s="361" t="s">
        <v>258</v>
      </c>
      <c r="B61" s="362" t="s">
        <v>191</v>
      </c>
    </row>
  </sheetData>
  <sheetProtection formatCells="0" formatColumns="0" formatRows="0" sort="0" autoFilter="0" pivotTables="0"/>
  <conditionalFormatting sqref="V125:V126 K125:K126 D125:F126 G126:J127 V57 D57:K57">
    <cfRule type="cellIs" dxfId="0"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56" orientation="portrait" r:id="rId1"/>
  <headerFooter alignWithMargins="0">
    <oddHeader>&amp;L&amp;"Vodafone Rg,Regular"Vodafone Group Plc&amp;C&amp;"Vodafone Rg,Regular"15 Definitions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2.7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workbookViewId="0">
      <selection activeCell="F23" sqref="F23"/>
    </sheetView>
  </sheetViews>
  <sheetFormatPr defaultRowHeight="12.75" x14ac:dyDescent="0.2"/>
  <cols>
    <col min="1" max="1" width="8" customWidth="1"/>
    <col min="2" max="6" width="11.42578125" customWidth="1"/>
    <col min="7" max="7" width="15.5703125" customWidth="1"/>
    <col min="8" max="256" width="11.42578125" customWidth="1"/>
    <col min="257" max="257" width="5.42578125" customWidth="1"/>
    <col min="258" max="512" width="11.42578125" customWidth="1"/>
    <col min="513" max="513" width="5.42578125" customWidth="1"/>
    <col min="514" max="768" width="11.42578125" customWidth="1"/>
    <col min="769" max="769" width="5.42578125" customWidth="1"/>
    <col min="770" max="1024" width="11.42578125" customWidth="1"/>
    <col min="1025" max="1025" width="5.42578125" customWidth="1"/>
    <col min="1026" max="1280" width="11.42578125" customWidth="1"/>
    <col min="1281" max="1281" width="5.42578125" customWidth="1"/>
    <col min="1282" max="1536" width="11.42578125" customWidth="1"/>
    <col min="1537" max="1537" width="5.42578125" customWidth="1"/>
    <col min="1538" max="1792" width="11.42578125" customWidth="1"/>
    <col min="1793" max="1793" width="5.42578125" customWidth="1"/>
    <col min="1794" max="2048" width="11.42578125" customWidth="1"/>
    <col min="2049" max="2049" width="5.42578125" customWidth="1"/>
    <col min="2050" max="2304" width="11.42578125" customWidth="1"/>
    <col min="2305" max="2305" width="5.42578125" customWidth="1"/>
    <col min="2306" max="2560" width="11.42578125" customWidth="1"/>
    <col min="2561" max="2561" width="5.42578125" customWidth="1"/>
    <col min="2562" max="2816" width="11.42578125" customWidth="1"/>
    <col min="2817" max="2817" width="5.42578125" customWidth="1"/>
    <col min="2818" max="3072" width="11.42578125" customWidth="1"/>
    <col min="3073" max="3073" width="5.42578125" customWidth="1"/>
    <col min="3074" max="3328" width="11.42578125" customWidth="1"/>
    <col min="3329" max="3329" width="5.42578125" customWidth="1"/>
    <col min="3330" max="3584" width="11.42578125" customWidth="1"/>
    <col min="3585" max="3585" width="5.42578125" customWidth="1"/>
    <col min="3586" max="3840" width="11.42578125" customWidth="1"/>
    <col min="3841" max="3841" width="5.42578125" customWidth="1"/>
    <col min="3842" max="4096" width="11.42578125" customWidth="1"/>
    <col min="4097" max="4097" width="5.42578125" customWidth="1"/>
    <col min="4098" max="4352" width="11.42578125" customWidth="1"/>
    <col min="4353" max="4353" width="5.42578125" customWidth="1"/>
    <col min="4354" max="4608" width="11.42578125" customWidth="1"/>
    <col min="4609" max="4609" width="5.42578125" customWidth="1"/>
    <col min="4610" max="4864" width="11.42578125" customWidth="1"/>
    <col min="4865" max="4865" width="5.42578125" customWidth="1"/>
    <col min="4866" max="5120" width="11.42578125" customWidth="1"/>
    <col min="5121" max="5121" width="5.42578125" customWidth="1"/>
    <col min="5122" max="5376" width="11.42578125" customWidth="1"/>
    <col min="5377" max="5377" width="5.42578125" customWidth="1"/>
    <col min="5378" max="5632" width="11.42578125" customWidth="1"/>
    <col min="5633" max="5633" width="5.42578125" customWidth="1"/>
    <col min="5634" max="5888" width="11.42578125" customWidth="1"/>
    <col min="5889" max="5889" width="5.42578125" customWidth="1"/>
    <col min="5890" max="6144" width="11.42578125" customWidth="1"/>
    <col min="6145" max="6145" width="5.42578125" customWidth="1"/>
    <col min="6146" max="6400" width="11.42578125" customWidth="1"/>
    <col min="6401" max="6401" width="5.42578125" customWidth="1"/>
    <col min="6402" max="6656" width="11.42578125" customWidth="1"/>
    <col min="6657" max="6657" width="5.42578125" customWidth="1"/>
    <col min="6658" max="6912" width="11.42578125" customWidth="1"/>
    <col min="6913" max="6913" width="5.42578125" customWidth="1"/>
    <col min="6914" max="7168" width="11.42578125" customWidth="1"/>
    <col min="7169" max="7169" width="5.42578125" customWidth="1"/>
    <col min="7170" max="7424" width="11.42578125" customWidth="1"/>
    <col min="7425" max="7425" width="5.42578125" customWidth="1"/>
    <col min="7426" max="7680" width="11.42578125" customWidth="1"/>
    <col min="7681" max="7681" width="5.42578125" customWidth="1"/>
    <col min="7682" max="7936" width="11.42578125" customWidth="1"/>
    <col min="7937" max="7937" width="5.42578125" customWidth="1"/>
    <col min="7938" max="8192" width="11.42578125" customWidth="1"/>
    <col min="8193" max="8193" width="5.42578125" customWidth="1"/>
    <col min="8194" max="8448" width="11.42578125" customWidth="1"/>
    <col min="8449" max="8449" width="5.42578125" customWidth="1"/>
    <col min="8450" max="8704" width="11.42578125" customWidth="1"/>
    <col min="8705" max="8705" width="5.42578125" customWidth="1"/>
    <col min="8706" max="8960" width="11.42578125" customWidth="1"/>
    <col min="8961" max="8961" width="5.42578125" customWidth="1"/>
    <col min="8962" max="9216" width="11.42578125" customWidth="1"/>
    <col min="9217" max="9217" width="5.42578125" customWidth="1"/>
    <col min="9218" max="9472" width="11.42578125" customWidth="1"/>
    <col min="9473" max="9473" width="5.42578125" customWidth="1"/>
    <col min="9474" max="9728" width="11.42578125" customWidth="1"/>
    <col min="9729" max="9729" width="5.42578125" customWidth="1"/>
    <col min="9730" max="9984" width="11.42578125" customWidth="1"/>
    <col min="9985" max="9985" width="5.42578125" customWidth="1"/>
    <col min="9986" max="10240" width="11.42578125" customWidth="1"/>
    <col min="10241" max="10241" width="5.42578125" customWidth="1"/>
    <col min="10242" max="10496" width="11.42578125" customWidth="1"/>
    <col min="10497" max="10497" width="5.42578125" customWidth="1"/>
    <col min="10498" max="10752" width="11.42578125" customWidth="1"/>
    <col min="10753" max="10753" width="5.42578125" customWidth="1"/>
    <col min="10754" max="11008" width="11.42578125" customWidth="1"/>
    <col min="11009" max="11009" width="5.42578125" customWidth="1"/>
    <col min="11010" max="11264" width="11.42578125" customWidth="1"/>
    <col min="11265" max="11265" width="5.42578125" customWidth="1"/>
    <col min="11266" max="11520" width="11.42578125" customWidth="1"/>
    <col min="11521" max="11521" width="5.42578125" customWidth="1"/>
    <col min="11522" max="11776" width="11.42578125" customWidth="1"/>
    <col min="11777" max="11777" width="5.42578125" customWidth="1"/>
    <col min="11778" max="12032" width="11.42578125" customWidth="1"/>
    <col min="12033" max="12033" width="5.42578125" customWidth="1"/>
    <col min="12034" max="12288" width="11.42578125" customWidth="1"/>
    <col min="12289" max="12289" width="5.42578125" customWidth="1"/>
    <col min="12290" max="12544" width="11.42578125" customWidth="1"/>
    <col min="12545" max="12545" width="5.42578125" customWidth="1"/>
    <col min="12546" max="12800" width="11.42578125" customWidth="1"/>
    <col min="12801" max="12801" width="5.42578125" customWidth="1"/>
    <col min="12802" max="13056" width="11.42578125" customWidth="1"/>
    <col min="13057" max="13057" width="5.42578125" customWidth="1"/>
    <col min="13058" max="13312" width="11.42578125" customWidth="1"/>
    <col min="13313" max="13313" width="5.42578125" customWidth="1"/>
    <col min="13314" max="13568" width="11.42578125" customWidth="1"/>
    <col min="13569" max="13569" width="5.42578125" customWidth="1"/>
    <col min="13570" max="13824" width="11.42578125" customWidth="1"/>
    <col min="13825" max="13825" width="5.42578125" customWidth="1"/>
    <col min="13826" max="14080" width="11.42578125" customWidth="1"/>
    <col min="14081" max="14081" width="5.42578125" customWidth="1"/>
    <col min="14082" max="14336" width="11.42578125" customWidth="1"/>
    <col min="14337" max="14337" width="5.42578125" customWidth="1"/>
    <col min="14338" max="14592" width="11.42578125" customWidth="1"/>
    <col min="14593" max="14593" width="5.42578125" customWidth="1"/>
    <col min="14594" max="14848" width="11.42578125" customWidth="1"/>
    <col min="14849" max="14849" width="5.42578125" customWidth="1"/>
    <col min="14850" max="15104" width="11.42578125" customWidth="1"/>
    <col min="15105" max="15105" width="5.42578125" customWidth="1"/>
    <col min="15106" max="15360" width="11.42578125" customWidth="1"/>
    <col min="15361" max="15361" width="5.42578125" customWidth="1"/>
    <col min="15362" max="15616" width="11.42578125" customWidth="1"/>
    <col min="15617" max="15617" width="5.42578125" customWidth="1"/>
    <col min="15618" max="15872" width="11.42578125" customWidth="1"/>
    <col min="15873" max="15873" width="5.42578125" customWidth="1"/>
    <col min="15874" max="16128" width="11.42578125" customWidth="1"/>
    <col min="16129" max="16129" width="5.42578125" customWidth="1"/>
    <col min="16130" max="16384" width="11.42578125" customWidth="1"/>
  </cols>
  <sheetData>
    <row r="1" spans="1:9" ht="22.5" x14ac:dyDescent="0.3">
      <c r="A1" s="688" t="s">
        <v>414</v>
      </c>
      <c r="B1" s="475" t="s">
        <v>0</v>
      </c>
      <c r="C1" s="476"/>
      <c r="D1" s="477"/>
      <c r="E1" s="477"/>
      <c r="F1" s="477"/>
      <c r="G1" s="478"/>
      <c r="H1" s="477"/>
    </row>
    <row r="2" spans="1:9" ht="15" x14ac:dyDescent="0.2">
      <c r="B2" s="479" t="s">
        <v>409</v>
      </c>
      <c r="C2" s="476"/>
      <c r="D2" s="477"/>
      <c r="E2" s="477"/>
      <c r="F2" s="477"/>
      <c r="G2" s="477"/>
      <c r="H2" s="477"/>
    </row>
    <row r="3" spans="1:9" ht="15.75" x14ac:dyDescent="0.2">
      <c r="B3" s="480" t="s">
        <v>407</v>
      </c>
      <c r="C3" s="476"/>
      <c r="D3" s="477"/>
      <c r="E3" s="477"/>
      <c r="F3" s="477"/>
      <c r="G3" s="477"/>
      <c r="H3" s="477"/>
    </row>
    <row r="4" spans="1:9" x14ac:dyDescent="0.2">
      <c r="B4" s="477"/>
      <c r="C4" s="477"/>
      <c r="D4" s="477"/>
      <c r="E4" s="477"/>
      <c r="F4" s="477"/>
      <c r="G4" s="477"/>
      <c r="H4" s="477"/>
    </row>
    <row r="5" spans="1:9" x14ac:dyDescent="0.2">
      <c r="B5" s="481"/>
      <c r="C5" s="476"/>
      <c r="D5" s="477"/>
      <c r="E5" s="477"/>
      <c r="F5" s="477"/>
      <c r="G5" s="477"/>
      <c r="H5" s="477"/>
    </row>
    <row r="6" spans="1:9" x14ac:dyDescent="0.2">
      <c r="B6" s="477"/>
      <c r="C6" s="477"/>
      <c r="D6" s="477"/>
      <c r="E6" s="477"/>
      <c r="F6" s="477"/>
      <c r="G6" s="477"/>
      <c r="H6" s="477"/>
    </row>
    <row r="7" spans="1:9" x14ac:dyDescent="0.2">
      <c r="B7" s="477"/>
      <c r="C7" s="477"/>
      <c r="D7" s="477"/>
      <c r="E7" s="477"/>
      <c r="F7" s="477"/>
      <c r="G7" s="477"/>
      <c r="H7" s="477"/>
    </row>
    <row r="8" spans="1:9" x14ac:dyDescent="0.2">
      <c r="B8" s="477"/>
      <c r="C8" s="477"/>
      <c r="D8" s="477"/>
      <c r="E8" s="477"/>
      <c r="F8" s="477"/>
      <c r="G8" s="477"/>
      <c r="H8" s="477"/>
    </row>
    <row r="9" spans="1:9" ht="18" x14ac:dyDescent="0.25">
      <c r="B9" s="476"/>
      <c r="C9" s="482" t="s">
        <v>304</v>
      </c>
      <c r="D9" s="477"/>
      <c r="E9" s="477"/>
      <c r="F9" s="477"/>
      <c r="G9" s="477"/>
      <c r="H9" s="477"/>
    </row>
    <row r="10" spans="1:9" ht="18" x14ac:dyDescent="0.25">
      <c r="B10" s="476"/>
      <c r="C10" s="871" t="s">
        <v>305</v>
      </c>
      <c r="D10" s="872"/>
      <c r="E10" s="872"/>
      <c r="F10" s="872"/>
      <c r="G10" s="872"/>
      <c r="H10" s="483"/>
      <c r="I10" s="484"/>
    </row>
    <row r="11" spans="1:9" ht="18" x14ac:dyDescent="0.25">
      <c r="B11" s="476"/>
      <c r="C11" s="871" t="s">
        <v>306</v>
      </c>
      <c r="D11" s="872"/>
      <c r="E11" s="872"/>
      <c r="F11" s="872"/>
      <c r="G11" s="872"/>
      <c r="H11" s="871"/>
      <c r="I11" s="872"/>
    </row>
    <row r="12" spans="1:9" ht="18" x14ac:dyDescent="0.25">
      <c r="B12" s="476"/>
      <c r="C12" s="871" t="s">
        <v>307</v>
      </c>
      <c r="D12" s="872"/>
      <c r="E12" s="872"/>
      <c r="F12" s="872"/>
      <c r="G12" s="872"/>
      <c r="H12" s="872"/>
      <c r="I12" s="484"/>
    </row>
    <row r="13" spans="1:9" ht="18" x14ac:dyDescent="0.25">
      <c r="B13" s="476"/>
      <c r="C13" s="871" t="s">
        <v>308</v>
      </c>
      <c r="D13" s="872"/>
      <c r="E13" s="872"/>
      <c r="F13" s="872"/>
      <c r="G13" s="872"/>
      <c r="H13" s="690"/>
      <c r="I13" s="484"/>
    </row>
    <row r="14" spans="1:9" ht="18" x14ac:dyDescent="0.25">
      <c r="B14" s="476"/>
      <c r="C14" s="871" t="s">
        <v>309</v>
      </c>
      <c r="D14" s="872"/>
      <c r="E14" s="872"/>
      <c r="F14" s="872"/>
      <c r="G14" s="872"/>
      <c r="H14" s="872"/>
      <c r="I14" s="484"/>
    </row>
    <row r="15" spans="1:9" x14ac:dyDescent="0.2">
      <c r="B15" s="477"/>
      <c r="C15" s="477"/>
      <c r="D15" s="477"/>
      <c r="E15" s="477"/>
      <c r="F15" s="477"/>
      <c r="G15" s="477"/>
      <c r="H15" s="477"/>
    </row>
    <row r="16" spans="1:9" ht="18" x14ac:dyDescent="0.25">
      <c r="B16" s="477"/>
      <c r="C16" s="482" t="s">
        <v>40</v>
      </c>
      <c r="D16" s="485"/>
      <c r="E16" s="477"/>
      <c r="F16" s="477"/>
      <c r="G16" s="477"/>
      <c r="H16" s="477"/>
    </row>
    <row r="17" spans="3:11" ht="18" x14ac:dyDescent="0.25">
      <c r="C17" s="871" t="s">
        <v>410</v>
      </c>
      <c r="D17" s="872"/>
      <c r="E17" s="872"/>
      <c r="F17" s="872"/>
      <c r="G17" s="872"/>
      <c r="H17" s="872"/>
      <c r="I17" s="683"/>
      <c r="J17" s="484"/>
      <c r="K17" s="484"/>
    </row>
  </sheetData>
  <sheetProtection formatCells="0" formatColumns="0" formatRows="0" sort="0" autoFilter="0" pivotTables="0"/>
  <mergeCells count="7">
    <mergeCell ref="C17:H17"/>
    <mergeCell ref="C10:G10"/>
    <mergeCell ref="C12:H12"/>
    <mergeCell ref="C14:H14"/>
    <mergeCell ref="C11:G11"/>
    <mergeCell ref="H11:I11"/>
    <mergeCell ref="C13:G13"/>
  </mergeCells>
  <hyperlinks>
    <hyperlink ref="C10" location="'Consolidated Income Statement'!A1" display="Consolidated Income Statement"/>
    <hyperlink ref="C11:C14" location="'Consolidated Income Statement'!A1" display="Consolidated Income Statement"/>
    <hyperlink ref="C11" location="'Consolidated SOCI'!A1" display="Consolidated statement of comprehensive income"/>
    <hyperlink ref="C12" location="'Consolidated statement of FP'!A1" display="Consolidated statement of financial position"/>
    <hyperlink ref="C14" location="'Consolidated statement of CF'!A1" display="Consolidated statement of cash flows "/>
    <hyperlink ref="C13" location="'Consolidated SOCE'!A1" display="Consolidated statement of changes in equity"/>
    <hyperlink ref="C17" location="'Note 2 - Segment analysis'!A1" display="Note 2 - Segment analysis"/>
    <hyperlink ref="C10:G10" location="'Consolidated income statement'!A1" display="Consolidated income statement"/>
    <hyperlink ref="C12:H12" location="'Consolidated SFP'!A1" display="Consolidated statement of financial position"/>
    <hyperlink ref="C14:H14" location="'Consolidated cash flows'!A1" display="Consolidated statement of cash flows "/>
    <hyperlink ref="C17:I17" location="'Note 2 - Dividends'!A1" display="Note 2 - Equity dividends on ordinary shares"/>
    <hyperlink ref="A1" location="Index!A1" display="Index"/>
  </hyperlinks>
  <pageMargins left="0.74803149606299213" right="0.74803149606299213" top="0.98425196850393704" bottom="0.98425196850393704" header="0.51181102362204722" footer="0.51181102362204722"/>
  <pageSetup paperSize="9" scale="9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showGridLines="0" topLeftCell="A13" workbookViewId="0">
      <selection activeCell="D39" sqref="D39"/>
    </sheetView>
  </sheetViews>
  <sheetFormatPr defaultRowHeight="12.75" x14ac:dyDescent="0.2"/>
  <cols>
    <col min="1" max="1" width="6.42578125" customWidth="1"/>
    <col min="2" max="2" width="71.140625" customWidth="1"/>
    <col min="3" max="3" width="8.7109375" customWidth="1"/>
    <col min="4" max="4" width="14.28515625" style="547" customWidth="1"/>
    <col min="5" max="5" width="1.7109375" customWidth="1"/>
    <col min="6" max="6" width="14.28515625" customWidth="1"/>
    <col min="7" max="256" width="11.42578125" customWidth="1"/>
    <col min="257" max="257" width="5.42578125" customWidth="1"/>
    <col min="258" max="258" width="71.140625" customWidth="1"/>
    <col min="259" max="259" width="8.7109375" customWidth="1"/>
    <col min="260" max="260" width="14.28515625" customWidth="1"/>
    <col min="261" max="261" width="1.7109375" customWidth="1"/>
    <col min="262" max="262" width="14.28515625" customWidth="1"/>
    <col min="263" max="512" width="11.42578125" customWidth="1"/>
    <col min="513" max="513" width="5.42578125" customWidth="1"/>
    <col min="514" max="514" width="71.140625" customWidth="1"/>
    <col min="515" max="515" width="8.7109375" customWidth="1"/>
    <col min="516" max="516" width="14.28515625" customWidth="1"/>
    <col min="517" max="517" width="1.7109375" customWidth="1"/>
    <col min="518" max="518" width="14.28515625" customWidth="1"/>
    <col min="519" max="768" width="11.42578125" customWidth="1"/>
    <col min="769" max="769" width="5.42578125" customWidth="1"/>
    <col min="770" max="770" width="71.140625" customWidth="1"/>
    <col min="771" max="771" width="8.7109375" customWidth="1"/>
    <col min="772" max="772" width="14.28515625" customWidth="1"/>
    <col min="773" max="773" width="1.7109375" customWidth="1"/>
    <col min="774" max="774" width="14.28515625" customWidth="1"/>
    <col min="775" max="1024" width="11.42578125" customWidth="1"/>
    <col min="1025" max="1025" width="5.42578125" customWidth="1"/>
    <col min="1026" max="1026" width="71.140625" customWidth="1"/>
    <col min="1027" max="1027" width="8.7109375" customWidth="1"/>
    <col min="1028" max="1028" width="14.28515625" customWidth="1"/>
    <col min="1029" max="1029" width="1.7109375" customWidth="1"/>
    <col min="1030" max="1030" width="14.28515625" customWidth="1"/>
    <col min="1031" max="1280" width="11.42578125" customWidth="1"/>
    <col min="1281" max="1281" width="5.42578125" customWidth="1"/>
    <col min="1282" max="1282" width="71.140625" customWidth="1"/>
    <col min="1283" max="1283" width="8.7109375" customWidth="1"/>
    <col min="1284" max="1284" width="14.28515625" customWidth="1"/>
    <col min="1285" max="1285" width="1.7109375" customWidth="1"/>
    <col min="1286" max="1286" width="14.28515625" customWidth="1"/>
    <col min="1287" max="1536" width="11.42578125" customWidth="1"/>
    <col min="1537" max="1537" width="5.42578125" customWidth="1"/>
    <col min="1538" max="1538" width="71.140625" customWidth="1"/>
    <col min="1539" max="1539" width="8.7109375" customWidth="1"/>
    <col min="1540" max="1540" width="14.28515625" customWidth="1"/>
    <col min="1541" max="1541" width="1.7109375" customWidth="1"/>
    <col min="1542" max="1542" width="14.28515625" customWidth="1"/>
    <col min="1543" max="1792" width="11.42578125" customWidth="1"/>
    <col min="1793" max="1793" width="5.42578125" customWidth="1"/>
    <col min="1794" max="1794" width="71.140625" customWidth="1"/>
    <col min="1795" max="1795" width="8.7109375" customWidth="1"/>
    <col min="1796" max="1796" width="14.28515625" customWidth="1"/>
    <col min="1797" max="1797" width="1.7109375" customWidth="1"/>
    <col min="1798" max="1798" width="14.28515625" customWidth="1"/>
    <col min="1799" max="2048" width="11.42578125" customWidth="1"/>
    <col min="2049" max="2049" width="5.42578125" customWidth="1"/>
    <col min="2050" max="2050" width="71.140625" customWidth="1"/>
    <col min="2051" max="2051" width="8.7109375" customWidth="1"/>
    <col min="2052" max="2052" width="14.28515625" customWidth="1"/>
    <col min="2053" max="2053" width="1.7109375" customWidth="1"/>
    <col min="2054" max="2054" width="14.28515625" customWidth="1"/>
    <col min="2055" max="2304" width="11.42578125" customWidth="1"/>
    <col min="2305" max="2305" width="5.42578125" customWidth="1"/>
    <col min="2306" max="2306" width="71.140625" customWidth="1"/>
    <col min="2307" max="2307" width="8.7109375" customWidth="1"/>
    <col min="2308" max="2308" width="14.28515625" customWidth="1"/>
    <col min="2309" max="2309" width="1.7109375" customWidth="1"/>
    <col min="2310" max="2310" width="14.28515625" customWidth="1"/>
    <col min="2311" max="2560" width="11.42578125" customWidth="1"/>
    <col min="2561" max="2561" width="5.42578125" customWidth="1"/>
    <col min="2562" max="2562" width="71.140625" customWidth="1"/>
    <col min="2563" max="2563" width="8.7109375" customWidth="1"/>
    <col min="2564" max="2564" width="14.28515625" customWidth="1"/>
    <col min="2565" max="2565" width="1.7109375" customWidth="1"/>
    <col min="2566" max="2566" width="14.28515625" customWidth="1"/>
    <col min="2567" max="2816" width="11.42578125" customWidth="1"/>
    <col min="2817" max="2817" width="5.42578125" customWidth="1"/>
    <col min="2818" max="2818" width="71.140625" customWidth="1"/>
    <col min="2819" max="2819" width="8.7109375" customWidth="1"/>
    <col min="2820" max="2820" width="14.28515625" customWidth="1"/>
    <col min="2821" max="2821" width="1.7109375" customWidth="1"/>
    <col min="2822" max="2822" width="14.28515625" customWidth="1"/>
    <col min="2823" max="3072" width="11.42578125" customWidth="1"/>
    <col min="3073" max="3073" width="5.42578125" customWidth="1"/>
    <col min="3074" max="3074" width="71.140625" customWidth="1"/>
    <col min="3075" max="3075" width="8.7109375" customWidth="1"/>
    <col min="3076" max="3076" width="14.28515625" customWidth="1"/>
    <col min="3077" max="3077" width="1.7109375" customWidth="1"/>
    <col min="3078" max="3078" width="14.28515625" customWidth="1"/>
    <col min="3079" max="3328" width="11.42578125" customWidth="1"/>
    <col min="3329" max="3329" width="5.42578125" customWidth="1"/>
    <col min="3330" max="3330" width="71.140625" customWidth="1"/>
    <col min="3331" max="3331" width="8.7109375" customWidth="1"/>
    <col min="3332" max="3332" width="14.28515625" customWidth="1"/>
    <col min="3333" max="3333" width="1.7109375" customWidth="1"/>
    <col min="3334" max="3334" width="14.28515625" customWidth="1"/>
    <col min="3335" max="3584" width="11.42578125" customWidth="1"/>
    <col min="3585" max="3585" width="5.42578125" customWidth="1"/>
    <col min="3586" max="3586" width="71.140625" customWidth="1"/>
    <col min="3587" max="3587" width="8.7109375" customWidth="1"/>
    <col min="3588" max="3588" width="14.28515625" customWidth="1"/>
    <col min="3589" max="3589" width="1.7109375" customWidth="1"/>
    <col min="3590" max="3590" width="14.28515625" customWidth="1"/>
    <col min="3591" max="3840" width="11.42578125" customWidth="1"/>
    <col min="3841" max="3841" width="5.42578125" customWidth="1"/>
    <col min="3842" max="3842" width="71.140625" customWidth="1"/>
    <col min="3843" max="3843" width="8.7109375" customWidth="1"/>
    <col min="3844" max="3844" width="14.28515625" customWidth="1"/>
    <col min="3845" max="3845" width="1.7109375" customWidth="1"/>
    <col min="3846" max="3846" width="14.28515625" customWidth="1"/>
    <col min="3847" max="4096" width="11.42578125" customWidth="1"/>
    <col min="4097" max="4097" width="5.42578125" customWidth="1"/>
    <col min="4098" max="4098" width="71.140625" customWidth="1"/>
    <col min="4099" max="4099" width="8.7109375" customWidth="1"/>
    <col min="4100" max="4100" width="14.28515625" customWidth="1"/>
    <col min="4101" max="4101" width="1.7109375" customWidth="1"/>
    <col min="4102" max="4102" width="14.28515625" customWidth="1"/>
    <col min="4103" max="4352" width="11.42578125" customWidth="1"/>
    <col min="4353" max="4353" width="5.42578125" customWidth="1"/>
    <col min="4354" max="4354" width="71.140625" customWidth="1"/>
    <col min="4355" max="4355" width="8.7109375" customWidth="1"/>
    <col min="4356" max="4356" width="14.28515625" customWidth="1"/>
    <col min="4357" max="4357" width="1.7109375" customWidth="1"/>
    <col min="4358" max="4358" width="14.28515625" customWidth="1"/>
    <col min="4359" max="4608" width="11.42578125" customWidth="1"/>
    <col min="4609" max="4609" width="5.42578125" customWidth="1"/>
    <col min="4610" max="4610" width="71.140625" customWidth="1"/>
    <col min="4611" max="4611" width="8.7109375" customWidth="1"/>
    <col min="4612" max="4612" width="14.28515625" customWidth="1"/>
    <col min="4613" max="4613" width="1.7109375" customWidth="1"/>
    <col min="4614" max="4614" width="14.28515625" customWidth="1"/>
    <col min="4615" max="4864" width="11.42578125" customWidth="1"/>
    <col min="4865" max="4865" width="5.42578125" customWidth="1"/>
    <col min="4866" max="4866" width="71.140625" customWidth="1"/>
    <col min="4867" max="4867" width="8.7109375" customWidth="1"/>
    <col min="4868" max="4868" width="14.28515625" customWidth="1"/>
    <col min="4869" max="4869" width="1.7109375" customWidth="1"/>
    <col min="4870" max="4870" width="14.28515625" customWidth="1"/>
    <col min="4871" max="5120" width="11.42578125" customWidth="1"/>
    <col min="5121" max="5121" width="5.42578125" customWidth="1"/>
    <col min="5122" max="5122" width="71.140625" customWidth="1"/>
    <col min="5123" max="5123" width="8.7109375" customWidth="1"/>
    <col min="5124" max="5124" width="14.28515625" customWidth="1"/>
    <col min="5125" max="5125" width="1.7109375" customWidth="1"/>
    <col min="5126" max="5126" width="14.28515625" customWidth="1"/>
    <col min="5127" max="5376" width="11.42578125" customWidth="1"/>
    <col min="5377" max="5377" width="5.42578125" customWidth="1"/>
    <col min="5378" max="5378" width="71.140625" customWidth="1"/>
    <col min="5379" max="5379" width="8.7109375" customWidth="1"/>
    <col min="5380" max="5380" width="14.28515625" customWidth="1"/>
    <col min="5381" max="5381" width="1.7109375" customWidth="1"/>
    <col min="5382" max="5382" width="14.28515625" customWidth="1"/>
    <col min="5383" max="5632" width="11.42578125" customWidth="1"/>
    <col min="5633" max="5633" width="5.42578125" customWidth="1"/>
    <col min="5634" max="5634" width="71.140625" customWidth="1"/>
    <col min="5635" max="5635" width="8.7109375" customWidth="1"/>
    <col min="5636" max="5636" width="14.28515625" customWidth="1"/>
    <col min="5637" max="5637" width="1.7109375" customWidth="1"/>
    <col min="5638" max="5638" width="14.28515625" customWidth="1"/>
    <col min="5639" max="5888" width="11.42578125" customWidth="1"/>
    <col min="5889" max="5889" width="5.42578125" customWidth="1"/>
    <col min="5890" max="5890" width="71.140625" customWidth="1"/>
    <col min="5891" max="5891" width="8.7109375" customWidth="1"/>
    <col min="5892" max="5892" width="14.28515625" customWidth="1"/>
    <col min="5893" max="5893" width="1.7109375" customWidth="1"/>
    <col min="5894" max="5894" width="14.28515625" customWidth="1"/>
    <col min="5895" max="6144" width="11.42578125" customWidth="1"/>
    <col min="6145" max="6145" width="5.42578125" customWidth="1"/>
    <col min="6146" max="6146" width="71.140625" customWidth="1"/>
    <col min="6147" max="6147" width="8.7109375" customWidth="1"/>
    <col min="6148" max="6148" width="14.28515625" customWidth="1"/>
    <col min="6149" max="6149" width="1.7109375" customWidth="1"/>
    <col min="6150" max="6150" width="14.28515625" customWidth="1"/>
    <col min="6151" max="6400" width="11.42578125" customWidth="1"/>
    <col min="6401" max="6401" width="5.42578125" customWidth="1"/>
    <col min="6402" max="6402" width="71.140625" customWidth="1"/>
    <col min="6403" max="6403" width="8.7109375" customWidth="1"/>
    <col min="6404" max="6404" width="14.28515625" customWidth="1"/>
    <col min="6405" max="6405" width="1.7109375" customWidth="1"/>
    <col min="6406" max="6406" width="14.28515625" customWidth="1"/>
    <col min="6407" max="6656" width="11.42578125" customWidth="1"/>
    <col min="6657" max="6657" width="5.42578125" customWidth="1"/>
    <col min="6658" max="6658" width="71.140625" customWidth="1"/>
    <col min="6659" max="6659" width="8.7109375" customWidth="1"/>
    <col min="6660" max="6660" width="14.28515625" customWidth="1"/>
    <col min="6661" max="6661" width="1.7109375" customWidth="1"/>
    <col min="6662" max="6662" width="14.28515625" customWidth="1"/>
    <col min="6663" max="6912" width="11.42578125" customWidth="1"/>
    <col min="6913" max="6913" width="5.42578125" customWidth="1"/>
    <col min="6914" max="6914" width="71.140625" customWidth="1"/>
    <col min="6915" max="6915" width="8.7109375" customWidth="1"/>
    <col min="6916" max="6916" width="14.28515625" customWidth="1"/>
    <col min="6917" max="6917" width="1.7109375" customWidth="1"/>
    <col min="6918" max="6918" width="14.28515625" customWidth="1"/>
    <col min="6919" max="7168" width="11.42578125" customWidth="1"/>
    <col min="7169" max="7169" width="5.42578125" customWidth="1"/>
    <col min="7170" max="7170" width="71.140625" customWidth="1"/>
    <col min="7171" max="7171" width="8.7109375" customWidth="1"/>
    <col min="7172" max="7172" width="14.28515625" customWidth="1"/>
    <col min="7173" max="7173" width="1.7109375" customWidth="1"/>
    <col min="7174" max="7174" width="14.28515625" customWidth="1"/>
    <col min="7175" max="7424" width="11.42578125" customWidth="1"/>
    <col min="7425" max="7425" width="5.42578125" customWidth="1"/>
    <col min="7426" max="7426" width="71.140625" customWidth="1"/>
    <col min="7427" max="7427" width="8.7109375" customWidth="1"/>
    <col min="7428" max="7428" width="14.28515625" customWidth="1"/>
    <col min="7429" max="7429" width="1.7109375" customWidth="1"/>
    <col min="7430" max="7430" width="14.28515625" customWidth="1"/>
    <col min="7431" max="7680" width="11.42578125" customWidth="1"/>
    <col min="7681" max="7681" width="5.42578125" customWidth="1"/>
    <col min="7682" max="7682" width="71.140625" customWidth="1"/>
    <col min="7683" max="7683" width="8.7109375" customWidth="1"/>
    <col min="7684" max="7684" width="14.28515625" customWidth="1"/>
    <col min="7685" max="7685" width="1.7109375" customWidth="1"/>
    <col min="7686" max="7686" width="14.28515625" customWidth="1"/>
    <col min="7687" max="7936" width="11.42578125" customWidth="1"/>
    <col min="7937" max="7937" width="5.42578125" customWidth="1"/>
    <col min="7938" max="7938" width="71.140625" customWidth="1"/>
    <col min="7939" max="7939" width="8.7109375" customWidth="1"/>
    <col min="7940" max="7940" width="14.28515625" customWidth="1"/>
    <col min="7941" max="7941" width="1.7109375" customWidth="1"/>
    <col min="7942" max="7942" width="14.28515625" customWidth="1"/>
    <col min="7943" max="8192" width="11.42578125" customWidth="1"/>
    <col min="8193" max="8193" width="5.42578125" customWidth="1"/>
    <col min="8194" max="8194" width="71.140625" customWidth="1"/>
    <col min="8195" max="8195" width="8.7109375" customWidth="1"/>
    <col min="8196" max="8196" width="14.28515625" customWidth="1"/>
    <col min="8197" max="8197" width="1.7109375" customWidth="1"/>
    <col min="8198" max="8198" width="14.28515625" customWidth="1"/>
    <col min="8199" max="8448" width="11.42578125" customWidth="1"/>
    <col min="8449" max="8449" width="5.42578125" customWidth="1"/>
    <col min="8450" max="8450" width="71.140625" customWidth="1"/>
    <col min="8451" max="8451" width="8.7109375" customWidth="1"/>
    <col min="8452" max="8452" width="14.28515625" customWidth="1"/>
    <col min="8453" max="8453" width="1.7109375" customWidth="1"/>
    <col min="8454" max="8454" width="14.28515625" customWidth="1"/>
    <col min="8455" max="8704" width="11.42578125" customWidth="1"/>
    <col min="8705" max="8705" width="5.42578125" customWidth="1"/>
    <col min="8706" max="8706" width="71.140625" customWidth="1"/>
    <col min="8707" max="8707" width="8.7109375" customWidth="1"/>
    <col min="8708" max="8708" width="14.28515625" customWidth="1"/>
    <col min="8709" max="8709" width="1.7109375" customWidth="1"/>
    <col min="8710" max="8710" width="14.28515625" customWidth="1"/>
    <col min="8711" max="8960" width="11.42578125" customWidth="1"/>
    <col min="8961" max="8961" width="5.42578125" customWidth="1"/>
    <col min="8962" max="8962" width="71.140625" customWidth="1"/>
    <col min="8963" max="8963" width="8.7109375" customWidth="1"/>
    <col min="8964" max="8964" width="14.28515625" customWidth="1"/>
    <col min="8965" max="8965" width="1.7109375" customWidth="1"/>
    <col min="8966" max="8966" width="14.28515625" customWidth="1"/>
    <col min="8967" max="9216" width="11.42578125" customWidth="1"/>
    <col min="9217" max="9217" width="5.42578125" customWidth="1"/>
    <col min="9218" max="9218" width="71.140625" customWidth="1"/>
    <col min="9219" max="9219" width="8.7109375" customWidth="1"/>
    <col min="9220" max="9220" width="14.28515625" customWidth="1"/>
    <col min="9221" max="9221" width="1.7109375" customWidth="1"/>
    <col min="9222" max="9222" width="14.28515625" customWidth="1"/>
    <col min="9223" max="9472" width="11.42578125" customWidth="1"/>
    <col min="9473" max="9473" width="5.42578125" customWidth="1"/>
    <col min="9474" max="9474" width="71.140625" customWidth="1"/>
    <col min="9475" max="9475" width="8.7109375" customWidth="1"/>
    <col min="9476" max="9476" width="14.28515625" customWidth="1"/>
    <col min="9477" max="9477" width="1.7109375" customWidth="1"/>
    <col min="9478" max="9478" width="14.28515625" customWidth="1"/>
    <col min="9479" max="9728" width="11.42578125" customWidth="1"/>
    <col min="9729" max="9729" width="5.42578125" customWidth="1"/>
    <col min="9730" max="9730" width="71.140625" customWidth="1"/>
    <col min="9731" max="9731" width="8.7109375" customWidth="1"/>
    <col min="9732" max="9732" width="14.28515625" customWidth="1"/>
    <col min="9733" max="9733" width="1.7109375" customWidth="1"/>
    <col min="9734" max="9734" width="14.28515625" customWidth="1"/>
    <col min="9735" max="9984" width="11.42578125" customWidth="1"/>
    <col min="9985" max="9985" width="5.42578125" customWidth="1"/>
    <col min="9986" max="9986" width="71.140625" customWidth="1"/>
    <col min="9987" max="9987" width="8.7109375" customWidth="1"/>
    <col min="9988" max="9988" width="14.28515625" customWidth="1"/>
    <col min="9989" max="9989" width="1.7109375" customWidth="1"/>
    <col min="9990" max="9990" width="14.28515625" customWidth="1"/>
    <col min="9991" max="10240" width="11.42578125" customWidth="1"/>
    <col min="10241" max="10241" width="5.42578125" customWidth="1"/>
    <col min="10242" max="10242" width="71.140625" customWidth="1"/>
    <col min="10243" max="10243" width="8.7109375" customWidth="1"/>
    <col min="10244" max="10244" width="14.28515625" customWidth="1"/>
    <col min="10245" max="10245" width="1.7109375" customWidth="1"/>
    <col min="10246" max="10246" width="14.28515625" customWidth="1"/>
    <col min="10247" max="10496" width="11.42578125" customWidth="1"/>
    <col min="10497" max="10497" width="5.42578125" customWidth="1"/>
    <col min="10498" max="10498" width="71.140625" customWidth="1"/>
    <col min="10499" max="10499" width="8.7109375" customWidth="1"/>
    <col min="10500" max="10500" width="14.28515625" customWidth="1"/>
    <col min="10501" max="10501" width="1.7109375" customWidth="1"/>
    <col min="10502" max="10502" width="14.28515625" customWidth="1"/>
    <col min="10503" max="10752" width="11.42578125" customWidth="1"/>
    <col min="10753" max="10753" width="5.42578125" customWidth="1"/>
    <col min="10754" max="10754" width="71.140625" customWidth="1"/>
    <col min="10755" max="10755" width="8.7109375" customWidth="1"/>
    <col min="10756" max="10756" width="14.28515625" customWidth="1"/>
    <col min="10757" max="10757" width="1.7109375" customWidth="1"/>
    <col min="10758" max="10758" width="14.28515625" customWidth="1"/>
    <col min="10759" max="11008" width="11.42578125" customWidth="1"/>
    <col min="11009" max="11009" width="5.42578125" customWidth="1"/>
    <col min="11010" max="11010" width="71.140625" customWidth="1"/>
    <col min="11011" max="11011" width="8.7109375" customWidth="1"/>
    <col min="11012" max="11012" width="14.28515625" customWidth="1"/>
    <col min="11013" max="11013" width="1.7109375" customWidth="1"/>
    <col min="11014" max="11014" width="14.28515625" customWidth="1"/>
    <col min="11015" max="11264" width="11.42578125" customWidth="1"/>
    <col min="11265" max="11265" width="5.42578125" customWidth="1"/>
    <col min="11266" max="11266" width="71.140625" customWidth="1"/>
    <col min="11267" max="11267" width="8.7109375" customWidth="1"/>
    <col min="11268" max="11268" width="14.28515625" customWidth="1"/>
    <col min="11269" max="11269" width="1.7109375" customWidth="1"/>
    <col min="11270" max="11270" width="14.28515625" customWidth="1"/>
    <col min="11271" max="11520" width="11.42578125" customWidth="1"/>
    <col min="11521" max="11521" width="5.42578125" customWidth="1"/>
    <col min="11522" max="11522" width="71.140625" customWidth="1"/>
    <col min="11523" max="11523" width="8.7109375" customWidth="1"/>
    <col min="11524" max="11524" width="14.28515625" customWidth="1"/>
    <col min="11525" max="11525" width="1.7109375" customWidth="1"/>
    <col min="11526" max="11526" width="14.28515625" customWidth="1"/>
    <col min="11527" max="11776" width="11.42578125" customWidth="1"/>
    <col min="11777" max="11777" width="5.42578125" customWidth="1"/>
    <col min="11778" max="11778" width="71.140625" customWidth="1"/>
    <col min="11779" max="11779" width="8.7109375" customWidth="1"/>
    <col min="11780" max="11780" width="14.28515625" customWidth="1"/>
    <col min="11781" max="11781" width="1.7109375" customWidth="1"/>
    <col min="11782" max="11782" width="14.28515625" customWidth="1"/>
    <col min="11783" max="12032" width="11.42578125" customWidth="1"/>
    <col min="12033" max="12033" width="5.42578125" customWidth="1"/>
    <col min="12034" max="12034" width="71.140625" customWidth="1"/>
    <col min="12035" max="12035" width="8.7109375" customWidth="1"/>
    <col min="12036" max="12036" width="14.28515625" customWidth="1"/>
    <col min="12037" max="12037" width="1.7109375" customWidth="1"/>
    <col min="12038" max="12038" width="14.28515625" customWidth="1"/>
    <col min="12039" max="12288" width="11.42578125" customWidth="1"/>
    <col min="12289" max="12289" width="5.42578125" customWidth="1"/>
    <col min="12290" max="12290" width="71.140625" customWidth="1"/>
    <col min="12291" max="12291" width="8.7109375" customWidth="1"/>
    <col min="12292" max="12292" width="14.28515625" customWidth="1"/>
    <col min="12293" max="12293" width="1.7109375" customWidth="1"/>
    <col min="12294" max="12294" width="14.28515625" customWidth="1"/>
    <col min="12295" max="12544" width="11.42578125" customWidth="1"/>
    <col min="12545" max="12545" width="5.42578125" customWidth="1"/>
    <col min="12546" max="12546" width="71.140625" customWidth="1"/>
    <col min="12547" max="12547" width="8.7109375" customWidth="1"/>
    <col min="12548" max="12548" width="14.28515625" customWidth="1"/>
    <col min="12549" max="12549" width="1.7109375" customWidth="1"/>
    <col min="12550" max="12550" width="14.28515625" customWidth="1"/>
    <col min="12551" max="12800" width="11.42578125" customWidth="1"/>
    <col min="12801" max="12801" width="5.42578125" customWidth="1"/>
    <col min="12802" max="12802" width="71.140625" customWidth="1"/>
    <col min="12803" max="12803" width="8.7109375" customWidth="1"/>
    <col min="12804" max="12804" width="14.28515625" customWidth="1"/>
    <col min="12805" max="12805" width="1.7109375" customWidth="1"/>
    <col min="12806" max="12806" width="14.28515625" customWidth="1"/>
    <col min="12807" max="13056" width="11.42578125" customWidth="1"/>
    <col min="13057" max="13057" width="5.42578125" customWidth="1"/>
    <col min="13058" max="13058" width="71.140625" customWidth="1"/>
    <col min="13059" max="13059" width="8.7109375" customWidth="1"/>
    <col min="13060" max="13060" width="14.28515625" customWidth="1"/>
    <col min="13061" max="13061" width="1.7109375" customWidth="1"/>
    <col min="13062" max="13062" width="14.28515625" customWidth="1"/>
    <col min="13063" max="13312" width="11.42578125" customWidth="1"/>
    <col min="13313" max="13313" width="5.42578125" customWidth="1"/>
    <col min="13314" max="13314" width="71.140625" customWidth="1"/>
    <col min="13315" max="13315" width="8.7109375" customWidth="1"/>
    <col min="13316" max="13316" width="14.28515625" customWidth="1"/>
    <col min="13317" max="13317" width="1.7109375" customWidth="1"/>
    <col min="13318" max="13318" width="14.28515625" customWidth="1"/>
    <col min="13319" max="13568" width="11.42578125" customWidth="1"/>
    <col min="13569" max="13569" width="5.42578125" customWidth="1"/>
    <col min="13570" max="13570" width="71.140625" customWidth="1"/>
    <col min="13571" max="13571" width="8.7109375" customWidth="1"/>
    <col min="13572" max="13572" width="14.28515625" customWidth="1"/>
    <col min="13573" max="13573" width="1.7109375" customWidth="1"/>
    <col min="13574" max="13574" width="14.28515625" customWidth="1"/>
    <col min="13575" max="13824" width="11.42578125" customWidth="1"/>
    <col min="13825" max="13825" width="5.42578125" customWidth="1"/>
    <col min="13826" max="13826" width="71.140625" customWidth="1"/>
    <col min="13827" max="13827" width="8.7109375" customWidth="1"/>
    <col min="13828" max="13828" width="14.28515625" customWidth="1"/>
    <col min="13829" max="13829" width="1.7109375" customWidth="1"/>
    <col min="13830" max="13830" width="14.28515625" customWidth="1"/>
    <col min="13831" max="14080" width="11.42578125" customWidth="1"/>
    <col min="14081" max="14081" width="5.42578125" customWidth="1"/>
    <col min="14082" max="14082" width="71.140625" customWidth="1"/>
    <col min="14083" max="14083" width="8.7109375" customWidth="1"/>
    <col min="14084" max="14084" width="14.28515625" customWidth="1"/>
    <col min="14085" max="14085" width="1.7109375" customWidth="1"/>
    <col min="14086" max="14086" width="14.28515625" customWidth="1"/>
    <col min="14087" max="14336" width="11.42578125" customWidth="1"/>
    <col min="14337" max="14337" width="5.42578125" customWidth="1"/>
    <col min="14338" max="14338" width="71.140625" customWidth="1"/>
    <col min="14339" max="14339" width="8.7109375" customWidth="1"/>
    <col min="14340" max="14340" width="14.28515625" customWidth="1"/>
    <col min="14341" max="14341" width="1.7109375" customWidth="1"/>
    <col min="14342" max="14342" width="14.28515625" customWidth="1"/>
    <col min="14343" max="14592" width="11.42578125" customWidth="1"/>
    <col min="14593" max="14593" width="5.42578125" customWidth="1"/>
    <col min="14594" max="14594" width="71.140625" customWidth="1"/>
    <col min="14595" max="14595" width="8.7109375" customWidth="1"/>
    <col min="14596" max="14596" width="14.28515625" customWidth="1"/>
    <col min="14597" max="14597" width="1.7109375" customWidth="1"/>
    <col min="14598" max="14598" width="14.28515625" customWidth="1"/>
    <col min="14599" max="14848" width="11.42578125" customWidth="1"/>
    <col min="14849" max="14849" width="5.42578125" customWidth="1"/>
    <col min="14850" max="14850" width="71.140625" customWidth="1"/>
    <col min="14851" max="14851" width="8.7109375" customWidth="1"/>
    <col min="14852" max="14852" width="14.28515625" customWidth="1"/>
    <col min="14853" max="14853" width="1.7109375" customWidth="1"/>
    <col min="14854" max="14854" width="14.28515625" customWidth="1"/>
    <col min="14855" max="15104" width="11.42578125" customWidth="1"/>
    <col min="15105" max="15105" width="5.42578125" customWidth="1"/>
    <col min="15106" max="15106" width="71.140625" customWidth="1"/>
    <col min="15107" max="15107" width="8.7109375" customWidth="1"/>
    <col min="15108" max="15108" width="14.28515625" customWidth="1"/>
    <col min="15109" max="15109" width="1.7109375" customWidth="1"/>
    <col min="15110" max="15110" width="14.28515625" customWidth="1"/>
    <col min="15111" max="15360" width="11.42578125" customWidth="1"/>
    <col min="15361" max="15361" width="5.42578125" customWidth="1"/>
    <col min="15362" max="15362" width="71.140625" customWidth="1"/>
    <col min="15363" max="15363" width="8.7109375" customWidth="1"/>
    <col min="15364" max="15364" width="14.28515625" customWidth="1"/>
    <col min="15365" max="15365" width="1.7109375" customWidth="1"/>
    <col min="15366" max="15366" width="14.28515625" customWidth="1"/>
    <col min="15367" max="15616" width="11.42578125" customWidth="1"/>
    <col min="15617" max="15617" width="5.42578125" customWidth="1"/>
    <col min="15618" max="15618" width="71.140625" customWidth="1"/>
    <col min="15619" max="15619" width="8.7109375" customWidth="1"/>
    <col min="15620" max="15620" width="14.28515625" customWidth="1"/>
    <col min="15621" max="15621" width="1.7109375" customWidth="1"/>
    <col min="15622" max="15622" width="14.28515625" customWidth="1"/>
    <col min="15623" max="15872" width="11.42578125" customWidth="1"/>
    <col min="15873" max="15873" width="5.42578125" customWidth="1"/>
    <col min="15874" max="15874" width="71.140625" customWidth="1"/>
    <col min="15875" max="15875" width="8.7109375" customWidth="1"/>
    <col min="15876" max="15876" width="14.28515625" customWidth="1"/>
    <col min="15877" max="15877" width="1.7109375" customWidth="1"/>
    <col min="15878" max="15878" width="14.28515625" customWidth="1"/>
    <col min="15879" max="16128" width="11.42578125" customWidth="1"/>
    <col min="16129" max="16129" width="5.42578125" customWidth="1"/>
    <col min="16130" max="16130" width="71.140625" customWidth="1"/>
    <col min="16131" max="16131" width="8.7109375" customWidth="1"/>
    <col min="16132" max="16132" width="14.28515625" customWidth="1"/>
    <col min="16133" max="16133" width="1.7109375" customWidth="1"/>
    <col min="16134" max="16134" width="14.28515625" customWidth="1"/>
    <col min="16135" max="16384" width="11.42578125" customWidth="1"/>
  </cols>
  <sheetData>
    <row r="1" spans="1:6" x14ac:dyDescent="0.2">
      <c r="A1" s="685" t="s">
        <v>413</v>
      </c>
      <c r="B1" s="687" t="s">
        <v>412</v>
      </c>
      <c r="C1" s="486"/>
      <c r="D1" s="487"/>
      <c r="E1" s="477"/>
      <c r="F1" s="477"/>
    </row>
    <row r="2" spans="1:6" ht="12.75" customHeight="1" x14ac:dyDescent="0.2">
      <c r="B2" s="488" t="s">
        <v>305</v>
      </c>
      <c r="C2" s="488"/>
      <c r="D2" s="489"/>
      <c r="E2" s="490"/>
      <c r="F2" s="489"/>
    </row>
    <row r="3" spans="1:6" ht="12.75" customHeight="1" x14ac:dyDescent="0.2">
      <c r="B3" s="491"/>
      <c r="C3" s="491"/>
      <c r="D3" s="489"/>
      <c r="E3" s="490"/>
      <c r="F3" s="489"/>
    </row>
    <row r="4" spans="1:6" ht="12.75" customHeight="1" x14ac:dyDescent="0.2">
      <c r="B4" s="491"/>
      <c r="C4" s="491"/>
      <c r="D4" s="873" t="s">
        <v>404</v>
      </c>
      <c r="E4" s="873"/>
      <c r="F4" s="873"/>
    </row>
    <row r="5" spans="1:6" ht="12.75" customHeight="1" x14ac:dyDescent="0.2">
      <c r="B5" s="492"/>
      <c r="C5" s="492"/>
      <c r="D5" s="493"/>
      <c r="E5" s="494"/>
      <c r="F5" s="493" t="s">
        <v>333</v>
      </c>
    </row>
    <row r="6" spans="1:6" ht="12.75" customHeight="1" x14ac:dyDescent="0.2">
      <c r="B6" s="492"/>
      <c r="C6" s="492"/>
      <c r="D6" s="493">
        <v>2014</v>
      </c>
      <c r="E6" s="494"/>
      <c r="F6" s="493">
        <v>2013</v>
      </c>
    </row>
    <row r="7" spans="1:6" ht="12.75" customHeight="1" x14ac:dyDescent="0.2">
      <c r="B7" s="495"/>
      <c r="C7" s="495"/>
      <c r="D7" s="496" t="s">
        <v>14</v>
      </c>
      <c r="E7" s="497"/>
      <c r="F7" s="496" t="s">
        <v>14</v>
      </c>
    </row>
    <row r="8" spans="1:6" ht="3.95" customHeight="1" x14ac:dyDescent="0.2">
      <c r="B8" s="492"/>
      <c r="C8" s="492"/>
      <c r="D8" s="498"/>
      <c r="E8" s="490"/>
      <c r="F8" s="492"/>
    </row>
    <row r="9" spans="1:6" s="505" customFormat="1" ht="12.75" customHeight="1" x14ac:dyDescent="0.2">
      <c r="B9" s="499" t="s">
        <v>18</v>
      </c>
      <c r="C9" s="501"/>
      <c r="D9" s="502">
        <v>38346</v>
      </c>
      <c r="E9" s="503"/>
      <c r="F9" s="504">
        <v>38041</v>
      </c>
    </row>
    <row r="10" spans="1:6" ht="3.95" customHeight="1" x14ac:dyDescent="0.2">
      <c r="B10" s="499"/>
      <c r="C10" s="506"/>
      <c r="D10" s="507"/>
      <c r="E10" s="508"/>
      <c r="F10" s="509"/>
    </row>
    <row r="11" spans="1:6" ht="12.75" customHeight="1" x14ac:dyDescent="0.2">
      <c r="B11" s="510" t="s">
        <v>311</v>
      </c>
      <c r="C11" s="511"/>
      <c r="D11" s="512">
        <v>-27942</v>
      </c>
      <c r="E11" s="513"/>
      <c r="F11" s="514">
        <v>-26567</v>
      </c>
    </row>
    <row r="12" spans="1:6" ht="3.95" customHeight="1" x14ac:dyDescent="0.2">
      <c r="B12" s="500"/>
      <c r="C12" s="506"/>
      <c r="D12" s="507"/>
      <c r="E12" s="508"/>
      <c r="F12" s="509"/>
    </row>
    <row r="13" spans="1:6" s="505" customFormat="1" ht="12.75" customHeight="1" x14ac:dyDescent="0.2">
      <c r="B13" s="515" t="s">
        <v>312</v>
      </c>
      <c r="C13" s="506"/>
      <c r="D13" s="502">
        <f>+D11+D9</f>
        <v>10404</v>
      </c>
      <c r="E13" s="503"/>
      <c r="F13" s="504">
        <f>+F11+F9</f>
        <v>11474</v>
      </c>
    </row>
    <row r="14" spans="1:6" ht="3.95" customHeight="1" x14ac:dyDescent="0.2">
      <c r="B14" s="500"/>
      <c r="C14" s="506"/>
      <c r="D14" s="507"/>
      <c r="E14" s="508"/>
      <c r="F14" s="509"/>
    </row>
    <row r="15" spans="1:6" ht="12.75" customHeight="1" x14ac:dyDescent="0.2">
      <c r="B15" s="516" t="s">
        <v>313</v>
      </c>
      <c r="C15" s="506"/>
      <c r="D15" s="507">
        <v>-3033</v>
      </c>
      <c r="E15" s="508"/>
      <c r="F15" s="509">
        <v>-2860</v>
      </c>
    </row>
    <row r="16" spans="1:6" ht="12.75" customHeight="1" x14ac:dyDescent="0.2">
      <c r="B16" s="516" t="s">
        <v>314</v>
      </c>
      <c r="C16" s="506"/>
      <c r="D16" s="507">
        <v>-4245</v>
      </c>
      <c r="E16" s="508"/>
      <c r="F16" s="509">
        <v>-4159</v>
      </c>
    </row>
    <row r="17" spans="2:6" ht="12.75" customHeight="1" x14ac:dyDescent="0.2">
      <c r="B17" s="516" t="s">
        <v>500</v>
      </c>
      <c r="C17" s="506"/>
      <c r="D17" s="507">
        <v>278</v>
      </c>
      <c r="E17" s="508"/>
      <c r="F17" s="509">
        <v>575</v>
      </c>
    </row>
    <row r="18" spans="2:6" ht="12.75" customHeight="1" x14ac:dyDescent="0.2">
      <c r="B18" s="516" t="s">
        <v>315</v>
      </c>
      <c r="C18" s="501"/>
      <c r="D18" s="507">
        <v>-6600</v>
      </c>
      <c r="E18" s="508"/>
      <c r="F18" s="509">
        <v>-7700</v>
      </c>
    </row>
    <row r="19" spans="2:6" ht="12.75" customHeight="1" x14ac:dyDescent="0.2">
      <c r="B19" s="517" t="s">
        <v>91</v>
      </c>
      <c r="C19" s="511"/>
      <c r="D19" s="512">
        <v>-717</v>
      </c>
      <c r="E19" s="513"/>
      <c r="F19" s="514">
        <v>468</v>
      </c>
    </row>
    <row r="20" spans="2:6" ht="3.95" customHeight="1" x14ac:dyDescent="0.2">
      <c r="B20" s="516" t="s">
        <v>314</v>
      </c>
      <c r="C20" s="506"/>
      <c r="D20" s="507"/>
      <c r="E20" s="508"/>
      <c r="F20" s="509"/>
    </row>
    <row r="21" spans="2:6" s="505" customFormat="1" ht="12.75" customHeight="1" x14ac:dyDescent="0.2">
      <c r="B21" s="515" t="s">
        <v>470</v>
      </c>
      <c r="C21" s="501"/>
      <c r="D21" s="502">
        <f>SUM(D13:D19)</f>
        <v>-3913</v>
      </c>
      <c r="E21" s="503"/>
      <c r="F21" s="504">
        <f>SUM(F13:F19)</f>
        <v>-2202</v>
      </c>
    </row>
    <row r="22" spans="2:6" ht="3.95" customHeight="1" x14ac:dyDescent="0.2">
      <c r="B22" s="516"/>
      <c r="C22" s="506"/>
      <c r="D22" s="507"/>
      <c r="E22" s="508"/>
      <c r="F22" s="509"/>
    </row>
    <row r="23" spans="2:6" ht="12.75" customHeight="1" x14ac:dyDescent="0.2">
      <c r="B23" s="516" t="s">
        <v>316</v>
      </c>
      <c r="C23" s="506"/>
      <c r="D23" s="507">
        <v>-149</v>
      </c>
      <c r="E23" s="508"/>
      <c r="F23" s="509">
        <v>10</v>
      </c>
    </row>
    <row r="24" spans="2:6" ht="12.75" customHeight="1" x14ac:dyDescent="0.2">
      <c r="B24" s="516" t="s">
        <v>317</v>
      </c>
      <c r="C24" s="506"/>
      <c r="D24" s="507">
        <v>346</v>
      </c>
      <c r="E24" s="508"/>
      <c r="F24" s="509">
        <v>305</v>
      </c>
    </row>
    <row r="25" spans="2:6" ht="12.75" customHeight="1" x14ac:dyDescent="0.2">
      <c r="B25" s="517" t="s">
        <v>318</v>
      </c>
      <c r="C25" s="511"/>
      <c r="D25" s="512">
        <v>-1554</v>
      </c>
      <c r="E25" s="513"/>
      <c r="F25" s="514">
        <v>-1596</v>
      </c>
    </row>
    <row r="26" spans="2:6" ht="3.95" customHeight="1" x14ac:dyDescent="0.2">
      <c r="B26" s="516"/>
      <c r="C26" s="506"/>
      <c r="D26" s="507"/>
      <c r="E26" s="508"/>
      <c r="F26" s="509"/>
    </row>
    <row r="27" spans="2:6" s="505" customFormat="1" ht="12.75" customHeight="1" x14ac:dyDescent="0.2">
      <c r="B27" s="515" t="s">
        <v>471</v>
      </c>
      <c r="C27" s="506"/>
      <c r="D27" s="502">
        <f>SUM(D21:D25)</f>
        <v>-5270</v>
      </c>
      <c r="E27" s="503"/>
      <c r="F27" s="504">
        <f>SUM(F21:F25)</f>
        <v>-3483</v>
      </c>
    </row>
    <row r="28" spans="2:6" ht="3.95" customHeight="1" x14ac:dyDescent="0.2">
      <c r="B28" s="516"/>
      <c r="C28" s="506"/>
      <c r="D28" s="507"/>
      <c r="E28" s="508"/>
      <c r="F28" s="509"/>
    </row>
    <row r="29" spans="2:6" ht="12.75" customHeight="1" x14ac:dyDescent="0.2">
      <c r="B29" s="516" t="s">
        <v>319</v>
      </c>
      <c r="C29" s="501"/>
      <c r="D29" s="507">
        <v>16582</v>
      </c>
      <c r="E29" s="508"/>
      <c r="F29" s="509">
        <v>-476</v>
      </c>
    </row>
    <row r="30" spans="2:6" ht="3.95" customHeight="1" x14ac:dyDescent="0.2">
      <c r="B30" s="516"/>
      <c r="C30" s="506"/>
      <c r="D30" s="507"/>
      <c r="E30" s="508"/>
      <c r="F30" s="509"/>
    </row>
    <row r="31" spans="2:6" s="505" customFormat="1" ht="12.75" customHeight="1" x14ac:dyDescent="0.2">
      <c r="B31" s="518" t="s">
        <v>320</v>
      </c>
      <c r="C31" s="519"/>
      <c r="D31" s="520">
        <f>+D29+D27</f>
        <v>11312</v>
      </c>
      <c r="E31" s="521"/>
      <c r="F31" s="522">
        <f>+F29+F27</f>
        <v>-3959</v>
      </c>
    </row>
    <row r="32" spans="2:6" ht="3.95" customHeight="1" x14ac:dyDescent="0.2">
      <c r="B32" s="516"/>
      <c r="C32" s="506"/>
      <c r="D32" s="507"/>
      <c r="E32" s="508"/>
      <c r="F32" s="509"/>
    </row>
    <row r="33" spans="2:6" ht="12.75" customHeight="1" x14ac:dyDescent="0.2">
      <c r="B33" s="523" t="s">
        <v>321</v>
      </c>
      <c r="C33" s="511"/>
      <c r="D33" s="524">
        <v>48108</v>
      </c>
      <c r="E33" s="525"/>
      <c r="F33" s="526">
        <v>4616</v>
      </c>
    </row>
    <row r="34" spans="2:6" ht="3.75" customHeight="1" x14ac:dyDescent="0.2">
      <c r="B34" s="515"/>
      <c r="C34" s="506"/>
      <c r="D34" s="502"/>
      <c r="E34" s="503"/>
      <c r="F34" s="504"/>
    </row>
    <row r="35" spans="2:6" ht="12.75" customHeight="1" thickBot="1" x14ac:dyDescent="0.25">
      <c r="B35" s="527" t="s">
        <v>501</v>
      </c>
      <c r="C35" s="528"/>
      <c r="D35" s="529">
        <f>+D33+D31</f>
        <v>59420</v>
      </c>
      <c r="E35" s="530"/>
      <c r="F35" s="531">
        <f>+F33+F31</f>
        <v>657</v>
      </c>
    </row>
    <row r="36" spans="2:6" ht="12.75" customHeight="1" x14ac:dyDescent="0.2">
      <c r="B36" s="516"/>
      <c r="C36" s="506"/>
      <c r="D36" s="507"/>
      <c r="E36" s="508"/>
      <c r="F36" s="509"/>
    </row>
    <row r="37" spans="2:6" s="505" customFormat="1" ht="12.75" customHeight="1" x14ac:dyDescent="0.2">
      <c r="B37" s="500" t="s">
        <v>322</v>
      </c>
      <c r="C37" s="532"/>
      <c r="D37" s="507"/>
      <c r="E37" s="508"/>
      <c r="F37" s="509"/>
    </row>
    <row r="38" spans="2:6" ht="3.95" customHeight="1" x14ac:dyDescent="0.2">
      <c r="B38" s="500"/>
      <c r="C38" s="532"/>
      <c r="D38" s="507"/>
      <c r="E38" s="508"/>
      <c r="F38" s="509"/>
    </row>
    <row r="39" spans="2:6" ht="12.75" customHeight="1" x14ac:dyDescent="0.2">
      <c r="B39" s="500" t="s">
        <v>323</v>
      </c>
      <c r="C39" s="532"/>
      <c r="D39" s="507">
        <v>59254</v>
      </c>
      <c r="E39" s="508"/>
      <c r="F39" s="509">
        <v>413</v>
      </c>
    </row>
    <row r="40" spans="2:6" ht="12.75" customHeight="1" x14ac:dyDescent="0.2">
      <c r="B40" s="516" t="s">
        <v>324</v>
      </c>
      <c r="C40" s="501"/>
      <c r="D40" s="507">
        <v>166</v>
      </c>
      <c r="E40" s="508"/>
      <c r="F40" s="509">
        <v>244</v>
      </c>
    </row>
    <row r="41" spans="2:6" ht="12.75" customHeight="1" thickBot="1" x14ac:dyDescent="0.25">
      <c r="B41" s="533"/>
      <c r="C41" s="534"/>
      <c r="D41" s="535">
        <f>+D40+D39</f>
        <v>59420</v>
      </c>
      <c r="E41" s="536"/>
      <c r="F41" s="537">
        <f>+F40+F39</f>
        <v>657</v>
      </c>
    </row>
    <row r="42" spans="2:6" ht="12.75" customHeight="1" x14ac:dyDescent="0.2">
      <c r="B42" s="516"/>
      <c r="C42" s="501"/>
      <c r="D42" s="538"/>
      <c r="E42" s="539"/>
      <c r="F42" s="540"/>
    </row>
    <row r="43" spans="2:6" ht="12.75" customHeight="1" x14ac:dyDescent="0.2">
      <c r="B43" s="515" t="s">
        <v>325</v>
      </c>
      <c r="C43" s="501"/>
      <c r="D43" s="538"/>
      <c r="E43" s="539"/>
      <c r="F43" s="540"/>
    </row>
    <row r="44" spans="2:6" ht="12.75" customHeight="1" x14ac:dyDescent="0.2">
      <c r="B44" s="516" t="s">
        <v>326</v>
      </c>
      <c r="C44" s="501"/>
      <c r="D44" s="538"/>
      <c r="E44" s="539"/>
      <c r="F44" s="540"/>
    </row>
    <row r="45" spans="2:6" ht="12.75" customHeight="1" x14ac:dyDescent="0.2">
      <c r="B45" s="516" t="s">
        <v>327</v>
      </c>
      <c r="C45" s="501"/>
      <c r="D45" s="538">
        <v>42.1</v>
      </c>
      <c r="E45" s="539"/>
      <c r="F45" s="540">
        <v>-15.66</v>
      </c>
    </row>
    <row r="46" spans="2:6" ht="12.75" customHeight="1" x14ac:dyDescent="0.2">
      <c r="B46" s="516" t="s">
        <v>328</v>
      </c>
      <c r="C46" s="501"/>
      <c r="D46" s="538">
        <v>41.77</v>
      </c>
      <c r="E46" s="539"/>
      <c r="F46" s="540">
        <v>-15.66</v>
      </c>
    </row>
    <row r="47" spans="2:6" ht="12.75" customHeight="1" x14ac:dyDescent="0.2">
      <c r="B47" s="516"/>
      <c r="C47" s="501"/>
      <c r="D47" s="538"/>
      <c r="E47" s="539"/>
      <c r="F47" s="540"/>
    </row>
    <row r="48" spans="2:6" ht="12.75" customHeight="1" x14ac:dyDescent="0.2">
      <c r="B48" s="516" t="s">
        <v>329</v>
      </c>
      <c r="C48" s="501"/>
      <c r="D48" s="538"/>
      <c r="E48" s="539"/>
      <c r="F48" s="540"/>
    </row>
    <row r="49" spans="2:6" ht="12.75" customHeight="1" x14ac:dyDescent="0.2">
      <c r="B49" s="516" t="s">
        <v>327</v>
      </c>
      <c r="C49" s="501"/>
      <c r="D49" s="538">
        <v>223.84</v>
      </c>
      <c r="E49" s="539"/>
      <c r="F49" s="540">
        <v>1.54</v>
      </c>
    </row>
    <row r="50" spans="2:6" ht="12.75" customHeight="1" thickBot="1" x14ac:dyDescent="0.25">
      <c r="B50" s="541" t="s">
        <v>328</v>
      </c>
      <c r="C50" s="542"/>
      <c r="D50" s="543">
        <v>222.07</v>
      </c>
      <c r="E50" s="544"/>
      <c r="F50" s="545">
        <v>1.54</v>
      </c>
    </row>
    <row r="51" spans="2:6" ht="3.95" customHeight="1" x14ac:dyDescent="0.2">
      <c r="B51" s="500"/>
      <c r="C51" s="500"/>
      <c r="D51" s="546"/>
      <c r="E51" s="490"/>
      <c r="F51" s="546"/>
    </row>
    <row r="52" spans="2:6" ht="3.95" customHeight="1" x14ac:dyDescent="0.2">
      <c r="B52" s="874"/>
      <c r="C52" s="821"/>
      <c r="D52" s="821"/>
      <c r="E52" s="821"/>
      <c r="F52" s="546"/>
    </row>
    <row r="53" spans="2:6" ht="3.95" customHeight="1" x14ac:dyDescent="0.2">
      <c r="B53" s="490"/>
      <c r="C53" s="490"/>
      <c r="D53" s="546"/>
      <c r="E53" s="490"/>
      <c r="F53" s="546"/>
    </row>
    <row r="59" spans="2:6" ht="12.75" customHeight="1" x14ac:dyDescent="0.2"/>
    <row r="61" spans="2:6" ht="12.75" customHeight="1" x14ac:dyDescent="0.2"/>
    <row r="62" spans="2:6" ht="12.75" customHeight="1" x14ac:dyDescent="0.2"/>
    <row r="63" spans="2:6" ht="12.75" customHeight="1" x14ac:dyDescent="0.2"/>
  </sheetData>
  <sheetProtection formatCells="0" formatColumns="0" formatRows="0" sort="0" autoFilter="0" pivotTables="0"/>
  <mergeCells count="2">
    <mergeCell ref="D4:F4"/>
    <mergeCell ref="B52:E52"/>
  </mergeCells>
  <hyperlinks>
    <hyperlink ref="A1" location="'FY 14 Financial statements'!A1" display="Back"/>
  </hyperlinks>
  <pageMargins left="0.75" right="0.75" top="1" bottom="1" header="0.5" footer="0.5"/>
  <pageSetup paperSize="9" scale="79" orientation="portrait" horizontalDpi="300" verticalDpi="300" r:id="rId1"/>
  <headerFooter alignWithMargins="0">
    <oddHeader>&amp;L&amp;"Vodafone Rg,Regular"Vodafone Group Plc</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201"/>
  <sheetViews>
    <sheetView showGridLines="0" zoomScale="85" zoomScaleNormal="85" workbookViewId="0">
      <pane xSplit="5" ySplit="3" topLeftCell="F113" activePane="bottomRight" state="frozen"/>
      <selection activeCell="C46" sqref="C46:AB47"/>
      <selection pane="topRight" activeCell="C46" sqref="C46:AB47"/>
      <selection pane="bottomLeft" activeCell="C46" sqref="C46:AB47"/>
      <selection pane="bottomRight" activeCell="P91" sqref="P91"/>
    </sheetView>
  </sheetViews>
  <sheetFormatPr defaultRowHeight="12.75" x14ac:dyDescent="0.2"/>
  <cols>
    <col min="1" max="1" width="5.42578125" style="65" customWidth="1"/>
    <col min="2" max="2" width="3.28515625" style="471" customWidth="1"/>
    <col min="3" max="3" width="31.85546875" style="471" customWidth="1"/>
    <col min="4" max="4" width="4.140625" style="471" customWidth="1"/>
    <col min="5" max="5" width="6.42578125" style="65" customWidth="1"/>
    <col min="6" max="8" width="8.7109375" style="395" customWidth="1"/>
    <col min="9" max="10" width="9.7109375" style="67" customWidth="1"/>
    <col min="11" max="11" width="9.7109375" style="65" customWidth="1"/>
    <col min="12" max="13" width="9.7109375" style="395" customWidth="1"/>
    <col min="14" max="14" width="3.7109375" style="65" customWidth="1"/>
    <col min="15" max="19" width="8.7109375" style="65" customWidth="1"/>
    <col min="20" max="20" width="7" style="65" bestFit="1" customWidth="1"/>
    <col min="21" max="21" width="6.85546875" style="65" customWidth="1"/>
    <col min="22" max="123" width="9.140625" style="65" customWidth="1"/>
    <col min="124" max="258" width="11.42578125" style="65" customWidth="1"/>
    <col min="259" max="16384" width="9.140625" style="65"/>
  </cols>
  <sheetData>
    <row r="1" spans="1:22" ht="12.75" customHeight="1" x14ac:dyDescent="0.2">
      <c r="A1" s="688" t="s">
        <v>414</v>
      </c>
      <c r="E1" s="471"/>
      <c r="F1" s="11"/>
      <c r="G1" s="11"/>
      <c r="H1" s="11"/>
      <c r="I1" s="12"/>
      <c r="J1" s="12"/>
      <c r="K1" s="444"/>
      <c r="L1" s="11"/>
      <c r="M1" s="11"/>
      <c r="N1" s="471"/>
      <c r="O1" s="825" t="s">
        <v>7</v>
      </c>
      <c r="P1" s="825"/>
      <c r="Q1" s="825"/>
      <c r="R1" s="825"/>
      <c r="T1" s="260"/>
      <c r="U1" s="260"/>
      <c r="V1" s="260"/>
    </row>
    <row r="2" spans="1:22" ht="12.75" customHeight="1" x14ac:dyDescent="0.2">
      <c r="B2" s="13"/>
      <c r="E2" s="471"/>
      <c r="F2" s="14" t="s">
        <v>8</v>
      </c>
      <c r="G2" s="14" t="s">
        <v>9</v>
      </c>
      <c r="H2" s="14" t="s">
        <v>10</v>
      </c>
      <c r="I2" s="15" t="s">
        <v>11</v>
      </c>
      <c r="J2" s="15" t="s">
        <v>12</v>
      </c>
      <c r="K2" s="17" t="s">
        <v>13</v>
      </c>
      <c r="L2" s="17" t="s">
        <v>296</v>
      </c>
      <c r="M2" s="16" t="s">
        <v>402</v>
      </c>
      <c r="N2" s="17"/>
      <c r="O2" s="15" t="s">
        <v>12</v>
      </c>
      <c r="P2" s="15" t="s">
        <v>13</v>
      </c>
      <c r="Q2" s="15" t="s">
        <v>296</v>
      </c>
      <c r="R2" s="709" t="s">
        <v>402</v>
      </c>
    </row>
    <row r="3" spans="1:22" ht="12.75" customHeight="1" x14ac:dyDescent="0.2">
      <c r="E3" s="471"/>
      <c r="F3" s="18" t="s">
        <v>14</v>
      </c>
      <c r="G3" s="18" t="s">
        <v>14</v>
      </c>
      <c r="H3" s="18" t="s">
        <v>14</v>
      </c>
      <c r="I3" s="19" t="s">
        <v>14</v>
      </c>
      <c r="J3" s="19" t="s">
        <v>14</v>
      </c>
      <c r="K3" s="445" t="s">
        <v>14</v>
      </c>
      <c r="L3" s="445" t="s">
        <v>14</v>
      </c>
      <c r="M3" s="20" t="s">
        <v>14</v>
      </c>
      <c r="N3" s="17"/>
      <c r="O3" s="14"/>
      <c r="P3" s="14"/>
      <c r="Q3" s="14"/>
      <c r="R3" s="709"/>
    </row>
    <row r="4" spans="1:22" ht="13.5" customHeight="1" x14ac:dyDescent="0.2">
      <c r="B4" s="826" t="s">
        <v>15</v>
      </c>
      <c r="C4" s="826"/>
      <c r="D4" s="404"/>
      <c r="E4" s="471"/>
      <c r="F4" s="25"/>
      <c r="G4" s="25"/>
      <c r="H4" s="25"/>
      <c r="I4" s="26"/>
      <c r="J4" s="26"/>
      <c r="K4" s="446"/>
      <c r="L4" s="446"/>
      <c r="M4" s="27"/>
      <c r="N4" s="471"/>
      <c r="O4" s="28"/>
      <c r="P4" s="28"/>
      <c r="Q4" s="28"/>
      <c r="R4" s="710"/>
    </row>
    <row r="5" spans="1:22" ht="12" customHeight="1" x14ac:dyDescent="0.2">
      <c r="B5" s="459"/>
      <c r="C5" s="23" t="s">
        <v>292</v>
      </c>
      <c r="D5" s="23"/>
      <c r="E5" s="23"/>
      <c r="F5" s="29">
        <v>6923</v>
      </c>
      <c r="G5" s="29">
        <v>7129</v>
      </c>
      <c r="H5" s="29">
        <v>7330</v>
      </c>
      <c r="I5" s="30">
        <v>7221</v>
      </c>
      <c r="J5" s="30">
        <v>7003</v>
      </c>
      <c r="K5" s="447">
        <v>6985</v>
      </c>
      <c r="L5" s="447">
        <v>7102</v>
      </c>
      <c r="M5" s="697">
        <v>6907</v>
      </c>
      <c r="N5" s="32"/>
      <c r="O5" s="33">
        <v>-8.3000000000000007</v>
      </c>
      <c r="P5" s="33">
        <v>-9.3000000000000007</v>
      </c>
      <c r="Q5" s="33">
        <v>-10.1</v>
      </c>
      <c r="R5" s="711">
        <v>-9.3000000000000007</v>
      </c>
      <c r="T5" s="814"/>
      <c r="V5" s="814"/>
    </row>
    <row r="6" spans="1:22" ht="12" customHeight="1" x14ac:dyDescent="0.2">
      <c r="B6" s="459"/>
      <c r="C6" s="23" t="s">
        <v>16</v>
      </c>
      <c r="D6" s="23"/>
      <c r="E6" s="23"/>
      <c r="F6" s="29">
        <v>3749</v>
      </c>
      <c r="G6" s="29">
        <v>3781</v>
      </c>
      <c r="H6" s="29">
        <v>3955</v>
      </c>
      <c r="I6" s="30">
        <v>3928</v>
      </c>
      <c r="J6" s="30">
        <v>3967</v>
      </c>
      <c r="K6" s="447">
        <v>3769</v>
      </c>
      <c r="L6" s="447">
        <v>3717</v>
      </c>
      <c r="M6" s="697">
        <v>3518</v>
      </c>
      <c r="N6" s="32"/>
      <c r="O6" s="33">
        <v>8.1999999999999993</v>
      </c>
      <c r="P6" s="33">
        <v>8.4</v>
      </c>
      <c r="Q6" s="33">
        <v>7.5</v>
      </c>
      <c r="R6" s="711">
        <v>9.4</v>
      </c>
      <c r="T6" s="814"/>
      <c r="V6" s="814"/>
    </row>
    <row r="7" spans="1:22" ht="24.75" customHeight="1" x14ac:dyDescent="0.2">
      <c r="B7" s="459"/>
      <c r="C7" s="827" t="s">
        <v>17</v>
      </c>
      <c r="D7" s="827"/>
      <c r="E7" s="827"/>
      <c r="F7" s="29">
        <v>95</v>
      </c>
      <c r="G7" s="29">
        <v>103</v>
      </c>
      <c r="H7" s="29">
        <v>103</v>
      </c>
      <c r="I7" s="30">
        <v>128</v>
      </c>
      <c r="J7" s="30">
        <v>149</v>
      </c>
      <c r="K7" s="447">
        <v>161</v>
      </c>
      <c r="L7" s="447">
        <f>+L8-L5-L6</f>
        <v>158</v>
      </c>
      <c r="M7" s="697">
        <f>+M8-M5-M6</f>
        <v>180</v>
      </c>
      <c r="N7" s="32"/>
      <c r="O7" s="33"/>
      <c r="P7" s="33"/>
      <c r="Q7" s="33"/>
      <c r="R7" s="711"/>
    </row>
    <row r="8" spans="1:22" ht="12" customHeight="1" thickBot="1" x14ac:dyDescent="0.25">
      <c r="B8" s="459"/>
      <c r="C8" s="34" t="s">
        <v>18</v>
      </c>
      <c r="D8" s="34"/>
      <c r="E8" s="34"/>
      <c r="F8" s="35">
        <v>10767</v>
      </c>
      <c r="G8" s="35">
        <v>11013</v>
      </c>
      <c r="H8" s="35">
        <v>11388</v>
      </c>
      <c r="I8" s="36">
        <v>11277</v>
      </c>
      <c r="J8" s="36">
        <v>11119</v>
      </c>
      <c r="K8" s="448">
        <v>10915</v>
      </c>
      <c r="L8" s="448">
        <v>10977</v>
      </c>
      <c r="M8" s="698">
        <v>10605</v>
      </c>
      <c r="N8" s="32"/>
      <c r="O8" s="37">
        <v>-2.7</v>
      </c>
      <c r="P8" s="37">
        <v>-3.6</v>
      </c>
      <c r="Q8" s="37">
        <v>-4.3</v>
      </c>
      <c r="R8" s="712">
        <v>-3.2</v>
      </c>
      <c r="T8" s="814"/>
      <c r="V8" s="814"/>
    </row>
    <row r="9" spans="1:22" ht="12" customHeight="1" thickTop="1" x14ac:dyDescent="0.2">
      <c r="B9" s="459"/>
      <c r="C9" s="404"/>
      <c r="D9" s="404"/>
      <c r="E9" s="471"/>
      <c r="F9" s="29"/>
      <c r="G9" s="29"/>
      <c r="H9" s="29"/>
      <c r="I9" s="30"/>
      <c r="J9" s="30"/>
      <c r="K9" s="447"/>
      <c r="L9" s="447"/>
      <c r="M9" s="697"/>
      <c r="N9" s="32"/>
      <c r="O9" s="23"/>
      <c r="P9" s="23"/>
      <c r="Q9" s="23"/>
      <c r="R9" s="713"/>
    </row>
    <row r="10" spans="1:22" ht="12" customHeight="1" x14ac:dyDescent="0.2">
      <c r="C10" s="471" t="s">
        <v>19</v>
      </c>
      <c r="E10" s="471"/>
      <c r="F10" s="38"/>
      <c r="G10" s="38"/>
      <c r="H10" s="38"/>
      <c r="I10" s="39"/>
      <c r="J10" s="39"/>
      <c r="K10" s="85"/>
      <c r="L10" s="85"/>
      <c r="M10" s="699"/>
      <c r="N10" s="32"/>
      <c r="O10" s="40"/>
      <c r="P10" s="40"/>
      <c r="Q10" s="40"/>
      <c r="R10" s="714"/>
    </row>
    <row r="11" spans="1:22" ht="12" customHeight="1" x14ac:dyDescent="0.2">
      <c r="C11" s="41" t="s">
        <v>20</v>
      </c>
      <c r="E11" s="471"/>
      <c r="F11" s="38">
        <v>3174</v>
      </c>
      <c r="G11" s="38">
        <v>3208</v>
      </c>
      <c r="H11" s="38">
        <v>3277</v>
      </c>
      <c r="I11" s="39">
        <v>3427</v>
      </c>
      <c r="J11" s="39">
        <v>3476</v>
      </c>
      <c r="K11" s="85">
        <v>3448</v>
      </c>
      <c r="L11" s="85">
        <v>3418</v>
      </c>
      <c r="M11" s="699">
        <v>3363</v>
      </c>
      <c r="N11" s="32"/>
      <c r="O11" s="40"/>
      <c r="P11" s="40"/>
      <c r="Q11" s="40"/>
      <c r="R11" s="714"/>
      <c r="T11" s="814"/>
      <c r="V11" s="814"/>
    </row>
    <row r="12" spans="1:22" ht="12" customHeight="1" x14ac:dyDescent="0.2">
      <c r="C12" s="41" t="s">
        <v>21</v>
      </c>
      <c r="E12" s="471"/>
      <c r="F12" s="42">
        <v>419</v>
      </c>
      <c r="G12" s="42">
        <v>454</v>
      </c>
      <c r="H12" s="42">
        <v>487</v>
      </c>
      <c r="I12" s="43">
        <v>513</v>
      </c>
      <c r="J12" s="43">
        <v>547</v>
      </c>
      <c r="K12" s="435">
        <v>568</v>
      </c>
      <c r="L12" s="435">
        <v>578</v>
      </c>
      <c r="M12" s="700">
        <v>665</v>
      </c>
      <c r="N12" s="32"/>
      <c r="O12" s="40"/>
      <c r="P12" s="40"/>
      <c r="Q12" s="40"/>
      <c r="R12" s="714"/>
      <c r="T12" s="814"/>
      <c r="V12" s="814"/>
    </row>
    <row r="13" spans="1:22" ht="12" customHeight="1" x14ac:dyDescent="0.2">
      <c r="C13" s="41" t="s">
        <v>22</v>
      </c>
      <c r="E13" s="471"/>
      <c r="F13" s="38">
        <v>3593</v>
      </c>
      <c r="G13" s="38">
        <v>3662</v>
      </c>
      <c r="H13" s="38">
        <f>SUM(H11:H12)</f>
        <v>3764</v>
      </c>
      <c r="I13" s="38">
        <v>3940</v>
      </c>
      <c r="J13" s="38">
        <v>4023</v>
      </c>
      <c r="K13" s="449">
        <v>4016</v>
      </c>
      <c r="L13" s="449">
        <f>SUM(L11:L12)</f>
        <v>3996</v>
      </c>
      <c r="M13" s="701">
        <f>SUM(M11:M12)</f>
        <v>4028</v>
      </c>
      <c r="N13" s="32"/>
      <c r="O13" s="33">
        <v>9.5</v>
      </c>
      <c r="P13" s="33">
        <v>7.3</v>
      </c>
      <c r="Q13" s="33">
        <v>6.6</v>
      </c>
      <c r="R13" s="711">
        <v>7.8</v>
      </c>
      <c r="T13" s="814"/>
      <c r="V13" s="814"/>
    </row>
    <row r="14" spans="1:22" ht="12" customHeight="1" x14ac:dyDescent="0.2">
      <c r="C14" s="471" t="s">
        <v>23</v>
      </c>
      <c r="E14" s="471"/>
      <c r="F14" s="38"/>
      <c r="G14" s="38"/>
      <c r="H14" s="38"/>
      <c r="I14" s="39"/>
      <c r="J14" s="39"/>
      <c r="K14" s="85"/>
      <c r="L14" s="85"/>
      <c r="M14" s="699"/>
      <c r="N14" s="32"/>
      <c r="O14" s="33"/>
      <c r="P14" s="33"/>
      <c r="Q14" s="33"/>
      <c r="R14" s="711"/>
    </row>
    <row r="15" spans="1:22" ht="12" customHeight="1" x14ac:dyDescent="0.2">
      <c r="C15" s="41" t="s">
        <v>20</v>
      </c>
      <c r="E15" s="471"/>
      <c r="F15" s="38">
        <v>1610</v>
      </c>
      <c r="G15" s="38">
        <v>1564</v>
      </c>
      <c r="H15" s="38">
        <v>1454</v>
      </c>
      <c r="I15" s="39">
        <v>1398</v>
      </c>
      <c r="J15" s="39">
        <v>1381</v>
      </c>
      <c r="K15" s="85">
        <v>1360</v>
      </c>
      <c r="L15" s="85">
        <v>1210</v>
      </c>
      <c r="M15" s="699">
        <v>1119</v>
      </c>
      <c r="N15" s="32"/>
      <c r="O15" s="33"/>
      <c r="P15" s="33"/>
      <c r="Q15" s="33"/>
      <c r="R15" s="711"/>
      <c r="T15" s="814"/>
      <c r="V15" s="814"/>
    </row>
    <row r="16" spans="1:22" ht="12" customHeight="1" x14ac:dyDescent="0.2">
      <c r="C16" s="41" t="s">
        <v>21</v>
      </c>
      <c r="E16" s="471"/>
      <c r="F16" s="42">
        <v>2248</v>
      </c>
      <c r="G16" s="42">
        <v>2216</v>
      </c>
      <c r="H16" s="42">
        <v>2125</v>
      </c>
      <c r="I16" s="43">
        <v>2084</v>
      </c>
      <c r="J16" s="43">
        <v>2048</v>
      </c>
      <c r="K16" s="435">
        <v>1934</v>
      </c>
      <c r="L16" s="435">
        <v>1810</v>
      </c>
      <c r="M16" s="700">
        <v>1587</v>
      </c>
      <c r="N16" s="32"/>
      <c r="O16" s="33"/>
      <c r="P16" s="33"/>
      <c r="Q16" s="33"/>
      <c r="R16" s="711"/>
      <c r="T16" s="814"/>
      <c r="V16" s="814"/>
    </row>
    <row r="17" spans="2:22" ht="12" customHeight="1" x14ac:dyDescent="0.2">
      <c r="C17" s="41" t="s">
        <v>22</v>
      </c>
      <c r="E17" s="471"/>
      <c r="F17" s="44">
        <v>3858</v>
      </c>
      <c r="G17" s="44">
        <v>3780</v>
      </c>
      <c r="H17" s="38">
        <f>SUM(H15:H16)</f>
        <v>3579</v>
      </c>
      <c r="I17" s="44">
        <v>3482</v>
      </c>
      <c r="J17" s="44">
        <v>3429</v>
      </c>
      <c r="K17" s="450">
        <v>3292</v>
      </c>
      <c r="L17" s="450">
        <f>SUM(L15:L16)</f>
        <v>3020</v>
      </c>
      <c r="M17" s="701">
        <f>SUM(M15:M16)</f>
        <v>2706</v>
      </c>
      <c r="N17" s="32"/>
      <c r="O17" s="33">
        <v>-11.2</v>
      </c>
      <c r="P17" s="33">
        <v>-11.6</v>
      </c>
      <c r="Q17" s="33">
        <v>-11.8</v>
      </c>
      <c r="R17" s="711">
        <v>-15.1</v>
      </c>
      <c r="T17" s="814"/>
      <c r="V17" s="814"/>
    </row>
    <row r="18" spans="2:22" ht="12" customHeight="1" x14ac:dyDescent="0.2">
      <c r="C18" s="471" t="s">
        <v>24</v>
      </c>
      <c r="E18" s="471"/>
      <c r="F18" s="38">
        <v>1108</v>
      </c>
      <c r="G18" s="38">
        <v>1037</v>
      </c>
      <c r="H18" s="38">
        <v>1030</v>
      </c>
      <c r="I18" s="39">
        <v>942</v>
      </c>
      <c r="J18" s="39">
        <v>928</v>
      </c>
      <c r="K18" s="85">
        <v>806</v>
      </c>
      <c r="L18" s="85">
        <v>790</v>
      </c>
      <c r="M18" s="699">
        <v>758</v>
      </c>
      <c r="N18" s="32"/>
      <c r="O18" s="33">
        <v>-16.899999999999999</v>
      </c>
      <c r="P18" s="33">
        <v>-21</v>
      </c>
      <c r="Q18" s="33">
        <v>-19.5</v>
      </c>
      <c r="R18" s="711">
        <v>-10.7</v>
      </c>
      <c r="T18" s="814"/>
      <c r="V18" s="814"/>
    </row>
    <row r="19" spans="2:22" ht="12" customHeight="1" x14ac:dyDescent="0.2">
      <c r="C19" s="471" t="s">
        <v>25</v>
      </c>
      <c r="E19" s="471"/>
      <c r="F19" s="38">
        <v>863</v>
      </c>
      <c r="G19" s="38">
        <v>1119</v>
      </c>
      <c r="H19" s="38">
        <v>1314</v>
      </c>
      <c r="I19" s="39">
        <v>1392</v>
      </c>
      <c r="J19" s="39">
        <v>1335</v>
      </c>
      <c r="K19" s="85">
        <v>1339</v>
      </c>
      <c r="L19" s="85">
        <f>1664-15</f>
        <v>1649</v>
      </c>
      <c r="M19" s="699">
        <v>1716</v>
      </c>
      <c r="N19" s="32"/>
      <c r="O19" s="33">
        <v>-3.2</v>
      </c>
      <c r="P19" s="33">
        <v>-1.4</v>
      </c>
      <c r="Q19" s="33">
        <v>-1.1000000000000001</v>
      </c>
      <c r="R19" s="711">
        <v>-1.5</v>
      </c>
      <c r="T19" s="814"/>
      <c r="V19" s="814"/>
    </row>
    <row r="20" spans="2:22" ht="12" customHeight="1" x14ac:dyDescent="0.2">
      <c r="C20" s="471" t="s">
        <v>26</v>
      </c>
      <c r="E20" s="471"/>
      <c r="F20" s="38">
        <v>482</v>
      </c>
      <c r="G20" s="38">
        <v>520</v>
      </c>
      <c r="H20" s="38">
        <v>506</v>
      </c>
      <c r="I20" s="39">
        <v>524</v>
      </c>
      <c r="J20" s="39">
        <v>440</v>
      </c>
      <c r="K20" s="85">
        <v>432</v>
      </c>
      <c r="L20" s="85">
        <f>386+15</f>
        <v>401</v>
      </c>
      <c r="M20" s="699">
        <v>425</v>
      </c>
      <c r="N20" s="32"/>
      <c r="O20" s="33">
        <v>-9.5</v>
      </c>
      <c r="P20" s="33">
        <v>-18</v>
      </c>
      <c r="Q20" s="33">
        <v>-19.5</v>
      </c>
      <c r="R20" s="711">
        <v>-15</v>
      </c>
      <c r="T20" s="814"/>
      <c r="V20" s="814"/>
    </row>
    <row r="21" spans="2:22" s="45" customFormat="1" ht="12" customHeight="1" thickBot="1" x14ac:dyDescent="0.25">
      <c r="B21" s="21"/>
      <c r="C21" s="21" t="s">
        <v>28</v>
      </c>
      <c r="D21" s="21"/>
      <c r="E21" s="21"/>
      <c r="F21" s="46">
        <v>9904</v>
      </c>
      <c r="G21" s="46">
        <v>10118</v>
      </c>
      <c r="H21" s="46">
        <f>SUM(H17:H20)+H13</f>
        <v>10193</v>
      </c>
      <c r="I21" s="46">
        <v>10280</v>
      </c>
      <c r="J21" s="46">
        <v>10155</v>
      </c>
      <c r="K21" s="451">
        <v>9885</v>
      </c>
      <c r="L21" s="451">
        <f>SUM(L17:L20)+L13</f>
        <v>9856</v>
      </c>
      <c r="M21" s="702">
        <f>SUM(M17:M20)+M13</f>
        <v>9633</v>
      </c>
      <c r="N21" s="32"/>
      <c r="O21" s="37">
        <v>-3.5</v>
      </c>
      <c r="P21" s="37">
        <v>-4.9000000000000004</v>
      </c>
      <c r="Q21" s="37">
        <v>-4.8</v>
      </c>
      <c r="R21" s="712">
        <v>-4</v>
      </c>
      <c r="T21" s="814"/>
      <c r="U21" s="65"/>
      <c r="V21" s="814"/>
    </row>
    <row r="22" spans="2:22" ht="6" customHeight="1" thickTop="1" x14ac:dyDescent="0.2">
      <c r="E22" s="471"/>
      <c r="F22" s="38"/>
      <c r="G22" s="38"/>
      <c r="H22" s="38"/>
      <c r="I22" s="38"/>
      <c r="J22" s="38"/>
      <c r="K22" s="449"/>
      <c r="L22" s="449"/>
      <c r="M22" s="701"/>
      <c r="N22" s="32"/>
      <c r="O22" s="33"/>
      <c r="P22" s="33"/>
      <c r="Q22" s="33"/>
      <c r="R22" s="711"/>
    </row>
    <row r="23" spans="2:22" ht="12" customHeight="1" x14ac:dyDescent="0.2">
      <c r="C23" s="471" t="s">
        <v>27</v>
      </c>
      <c r="E23" s="471"/>
      <c r="F23" s="39">
        <v>1596</v>
      </c>
      <c r="G23" s="39">
        <v>1641</v>
      </c>
      <c r="H23" s="39">
        <v>1678</v>
      </c>
      <c r="I23" s="39">
        <v>1787</v>
      </c>
      <c r="J23" s="39">
        <v>1805</v>
      </c>
      <c r="K23" s="85">
        <v>1887</v>
      </c>
      <c r="L23" s="85">
        <v>1848</v>
      </c>
      <c r="M23" s="699">
        <v>1892</v>
      </c>
      <c r="N23" s="32"/>
      <c r="O23" s="33"/>
      <c r="P23" s="33"/>
      <c r="Q23" s="33"/>
      <c r="R23" s="711"/>
      <c r="T23" s="814"/>
      <c r="V23" s="814"/>
    </row>
    <row r="24" spans="2:22" ht="12" customHeight="1" x14ac:dyDescent="0.2">
      <c r="E24" s="471"/>
      <c r="F24" s="39"/>
      <c r="G24" s="39"/>
      <c r="H24" s="39"/>
      <c r="I24" s="39"/>
      <c r="J24" s="39"/>
      <c r="K24" s="85"/>
      <c r="L24" s="85"/>
      <c r="M24" s="699"/>
      <c r="N24" s="32"/>
      <c r="O24" s="33"/>
      <c r="P24" s="33"/>
      <c r="Q24" s="33"/>
      <c r="R24" s="711"/>
    </row>
    <row r="25" spans="2:22" ht="12" customHeight="1" x14ac:dyDescent="0.2">
      <c r="B25" s="826" t="s">
        <v>292</v>
      </c>
      <c r="C25" s="826"/>
      <c r="D25" s="404"/>
      <c r="E25" s="471"/>
      <c r="F25" s="39"/>
      <c r="G25" s="39"/>
      <c r="H25" s="39"/>
      <c r="I25" s="39"/>
      <c r="J25" s="39"/>
      <c r="K25" s="85"/>
      <c r="L25" s="85"/>
      <c r="M25" s="699"/>
      <c r="N25" s="32"/>
      <c r="O25" s="33"/>
      <c r="P25" s="33"/>
      <c r="Q25" s="33"/>
      <c r="R25" s="711"/>
    </row>
    <row r="26" spans="2:22" ht="12" customHeight="1" x14ac:dyDescent="0.2">
      <c r="C26" s="471" t="s">
        <v>19</v>
      </c>
      <c r="E26" s="471"/>
      <c r="F26" s="38"/>
      <c r="G26" s="38"/>
      <c r="H26" s="38"/>
      <c r="I26" s="39"/>
      <c r="J26" s="39"/>
      <c r="K26" s="85"/>
      <c r="L26" s="85"/>
      <c r="M26" s="699"/>
      <c r="N26" s="32"/>
      <c r="O26" s="33"/>
      <c r="P26" s="33"/>
      <c r="Q26" s="33"/>
      <c r="R26" s="711"/>
    </row>
    <row r="27" spans="2:22" ht="12" customHeight="1" x14ac:dyDescent="0.2">
      <c r="C27" s="41" t="s">
        <v>20</v>
      </c>
      <c r="E27" s="471"/>
      <c r="F27" s="38">
        <v>2498</v>
      </c>
      <c r="G27" s="38">
        <v>2520</v>
      </c>
      <c r="H27" s="38">
        <v>2595</v>
      </c>
      <c r="I27" s="39">
        <v>2707</v>
      </c>
      <c r="J27" s="39">
        <v>2709</v>
      </c>
      <c r="K27" s="85">
        <v>2705</v>
      </c>
      <c r="L27" s="85">
        <v>2688</v>
      </c>
      <c r="M27" s="699">
        <v>2652</v>
      </c>
      <c r="N27" s="32"/>
      <c r="O27" s="33"/>
      <c r="P27" s="33"/>
      <c r="Q27" s="33"/>
      <c r="R27" s="711"/>
      <c r="T27" s="814"/>
      <c r="V27" s="814"/>
    </row>
    <row r="28" spans="2:22" ht="12" customHeight="1" x14ac:dyDescent="0.2">
      <c r="C28" s="41" t="s">
        <v>21</v>
      </c>
      <c r="E28" s="471"/>
      <c r="F28" s="42">
        <v>248</v>
      </c>
      <c r="G28" s="42">
        <v>265</v>
      </c>
      <c r="H28" s="42">
        <v>288</v>
      </c>
      <c r="I28" s="43">
        <v>307</v>
      </c>
      <c r="J28" s="43">
        <v>328</v>
      </c>
      <c r="K28" s="435">
        <v>343</v>
      </c>
      <c r="L28" s="435">
        <v>335</v>
      </c>
      <c r="M28" s="700">
        <v>364</v>
      </c>
      <c r="N28" s="32"/>
      <c r="O28" s="33"/>
      <c r="P28" s="33"/>
      <c r="Q28" s="33"/>
      <c r="R28" s="711"/>
      <c r="T28" s="814"/>
      <c r="V28" s="814"/>
    </row>
    <row r="29" spans="2:22" ht="12" customHeight="1" x14ac:dyDescent="0.2">
      <c r="C29" s="41" t="s">
        <v>22</v>
      </c>
      <c r="E29" s="471"/>
      <c r="F29" s="38">
        <v>2746</v>
      </c>
      <c r="G29" s="38">
        <v>2785</v>
      </c>
      <c r="H29" s="38">
        <f>SUM(H27:H28)</f>
        <v>2883</v>
      </c>
      <c r="I29" s="38">
        <v>3014</v>
      </c>
      <c r="J29" s="38">
        <v>3037</v>
      </c>
      <c r="K29" s="449">
        <v>3048</v>
      </c>
      <c r="L29" s="449">
        <f>SUM(L27:L28)</f>
        <v>3023</v>
      </c>
      <c r="M29" s="701">
        <f>SUM(M27:M28)</f>
        <v>3016</v>
      </c>
      <c r="N29" s="32"/>
      <c r="O29" s="33"/>
      <c r="P29" s="33"/>
      <c r="Q29" s="33"/>
      <c r="R29" s="711"/>
      <c r="T29" s="814"/>
      <c r="V29" s="814"/>
    </row>
    <row r="30" spans="2:22" ht="12" customHeight="1" x14ac:dyDescent="0.2">
      <c r="C30" s="471" t="s">
        <v>23</v>
      </c>
      <c r="E30" s="471"/>
      <c r="F30" s="38"/>
      <c r="G30" s="38"/>
      <c r="H30" s="38"/>
      <c r="I30" s="39"/>
      <c r="J30" s="39"/>
      <c r="K30" s="85"/>
      <c r="L30" s="85"/>
      <c r="M30" s="699"/>
      <c r="N30" s="32"/>
      <c r="O30" s="33"/>
      <c r="P30" s="33"/>
      <c r="Q30" s="33"/>
      <c r="R30" s="711"/>
    </row>
    <row r="31" spans="2:22" ht="12" customHeight="1" x14ac:dyDescent="0.2">
      <c r="C31" s="41" t="s">
        <v>20</v>
      </c>
      <c r="E31" s="471"/>
      <c r="F31" s="38">
        <v>1159</v>
      </c>
      <c r="G31" s="38">
        <v>1109</v>
      </c>
      <c r="H31" s="38">
        <v>1017</v>
      </c>
      <c r="I31" s="38">
        <v>966</v>
      </c>
      <c r="J31" s="38">
        <v>945</v>
      </c>
      <c r="K31" s="449">
        <v>949</v>
      </c>
      <c r="L31" s="449">
        <v>836</v>
      </c>
      <c r="M31" s="701">
        <v>780</v>
      </c>
      <c r="N31" s="32"/>
      <c r="O31" s="33"/>
      <c r="P31" s="33"/>
      <c r="Q31" s="33"/>
      <c r="R31" s="711"/>
      <c r="T31" s="814"/>
      <c r="V31" s="814"/>
    </row>
    <row r="32" spans="2:22" ht="12" customHeight="1" x14ac:dyDescent="0.2">
      <c r="C32" s="41" t="s">
        <v>21</v>
      </c>
      <c r="E32" s="471"/>
      <c r="F32" s="42">
        <v>903</v>
      </c>
      <c r="G32" s="42">
        <v>881</v>
      </c>
      <c r="H32" s="42">
        <v>803</v>
      </c>
      <c r="I32" s="42">
        <v>751</v>
      </c>
      <c r="J32" s="42">
        <v>684</v>
      </c>
      <c r="K32" s="452">
        <v>660</v>
      </c>
      <c r="L32" s="452">
        <v>580</v>
      </c>
      <c r="M32" s="703">
        <v>513</v>
      </c>
      <c r="N32" s="32"/>
      <c r="O32" s="33"/>
      <c r="P32" s="33"/>
      <c r="Q32" s="33"/>
      <c r="R32" s="711"/>
      <c r="T32" s="814"/>
      <c r="V32" s="814"/>
    </row>
    <row r="33" spans="2:22" ht="12" customHeight="1" x14ac:dyDescent="0.2">
      <c r="C33" s="41" t="s">
        <v>22</v>
      </c>
      <c r="E33" s="471"/>
      <c r="F33" s="38">
        <v>2062</v>
      </c>
      <c r="G33" s="38">
        <v>1990</v>
      </c>
      <c r="H33" s="38">
        <f>SUM(H31:H32)</f>
        <v>1820</v>
      </c>
      <c r="I33" s="38">
        <v>1717</v>
      </c>
      <c r="J33" s="38">
        <v>1629</v>
      </c>
      <c r="K33" s="449">
        <v>1609</v>
      </c>
      <c r="L33" s="449">
        <f>SUM(L31:L32)</f>
        <v>1416</v>
      </c>
      <c r="M33" s="701">
        <f>SUM(M31:M32)</f>
        <v>1293</v>
      </c>
      <c r="N33" s="32"/>
      <c r="O33" s="33"/>
      <c r="P33" s="33"/>
      <c r="Q33" s="33"/>
      <c r="R33" s="711"/>
      <c r="T33" s="814"/>
      <c r="V33" s="814"/>
    </row>
    <row r="34" spans="2:22" ht="12" customHeight="1" x14ac:dyDescent="0.2">
      <c r="C34" s="471" t="s">
        <v>24</v>
      </c>
      <c r="E34" s="471"/>
      <c r="F34" s="38">
        <v>638</v>
      </c>
      <c r="G34" s="38">
        <v>541</v>
      </c>
      <c r="H34" s="38">
        <v>524</v>
      </c>
      <c r="I34" s="39">
        <v>451</v>
      </c>
      <c r="J34" s="39">
        <v>436</v>
      </c>
      <c r="K34" s="85">
        <v>379</v>
      </c>
      <c r="L34" s="85">
        <v>375</v>
      </c>
      <c r="M34" s="699">
        <v>366</v>
      </c>
      <c r="N34" s="32"/>
      <c r="O34" s="33"/>
      <c r="P34" s="33"/>
      <c r="Q34" s="33"/>
      <c r="R34" s="711"/>
      <c r="T34" s="814"/>
      <c r="V34" s="814"/>
    </row>
    <row r="35" spans="2:22" ht="12" customHeight="1" x14ac:dyDescent="0.2">
      <c r="C35" s="471" t="s">
        <v>25</v>
      </c>
      <c r="E35" s="471"/>
      <c r="F35" s="38">
        <v>730</v>
      </c>
      <c r="G35" s="38">
        <v>999</v>
      </c>
      <c r="H35" s="38">
        <v>1177</v>
      </c>
      <c r="I35" s="39">
        <v>1221</v>
      </c>
      <c r="J35" s="39">
        <v>1117</v>
      </c>
      <c r="K35" s="85">
        <v>1122</v>
      </c>
      <c r="L35" s="85">
        <v>1438</v>
      </c>
      <c r="M35" s="699">
        <v>1504</v>
      </c>
      <c r="N35" s="32"/>
      <c r="O35" s="33"/>
      <c r="P35" s="33"/>
      <c r="Q35" s="33"/>
      <c r="R35" s="711"/>
      <c r="T35" s="814"/>
      <c r="V35" s="814"/>
    </row>
    <row r="36" spans="2:22" ht="12" customHeight="1" x14ac:dyDescent="0.2">
      <c r="C36" s="471" t="s">
        <v>26</v>
      </c>
      <c r="E36" s="471"/>
      <c r="F36" s="38">
        <v>289</v>
      </c>
      <c r="G36" s="38">
        <v>318</v>
      </c>
      <c r="H36" s="38">
        <v>297</v>
      </c>
      <c r="I36" s="39">
        <v>300</v>
      </c>
      <c r="J36" s="39">
        <v>302</v>
      </c>
      <c r="K36" s="85">
        <v>307</v>
      </c>
      <c r="L36" s="85">
        <v>271</v>
      </c>
      <c r="M36" s="699">
        <v>289</v>
      </c>
      <c r="N36" s="32"/>
      <c r="O36" s="33"/>
      <c r="P36" s="33"/>
      <c r="Q36" s="33"/>
      <c r="R36" s="711"/>
      <c r="T36" s="814"/>
      <c r="V36" s="814"/>
    </row>
    <row r="37" spans="2:22" s="45" customFormat="1" ht="12" customHeight="1" x14ac:dyDescent="0.2">
      <c r="B37" s="21"/>
      <c r="C37" s="21" t="s">
        <v>28</v>
      </c>
      <c r="D37" s="21"/>
      <c r="E37" s="21"/>
      <c r="F37" s="47">
        <v>6465</v>
      </c>
      <c r="G37" s="47">
        <v>6633</v>
      </c>
      <c r="H37" s="47">
        <f>SUM(H33:H36)+H29</f>
        <v>6701</v>
      </c>
      <c r="I37" s="48">
        <v>6703</v>
      </c>
      <c r="J37" s="48">
        <v>6521</v>
      </c>
      <c r="K37" s="453">
        <v>6465</v>
      </c>
      <c r="L37" s="453">
        <f>SUM(L33:L36)+L29</f>
        <v>6523</v>
      </c>
      <c r="M37" s="704">
        <f>SUM(M33:M36)+M29</f>
        <v>6468</v>
      </c>
      <c r="N37" s="49"/>
      <c r="O37" s="37">
        <v>-8.6999999999999993</v>
      </c>
      <c r="P37" s="37">
        <v>-9.6</v>
      </c>
      <c r="Q37" s="37">
        <v>-9.6</v>
      </c>
      <c r="R37" s="712">
        <v>-8.5</v>
      </c>
      <c r="T37" s="814"/>
      <c r="U37" s="65"/>
      <c r="V37" s="814"/>
    </row>
    <row r="38" spans="2:22" ht="6" customHeight="1" x14ac:dyDescent="0.2">
      <c r="E38" s="471"/>
      <c r="F38" s="38"/>
      <c r="G38" s="38"/>
      <c r="H38" s="38"/>
      <c r="I38" s="38"/>
      <c r="J38" s="38"/>
      <c r="K38" s="449"/>
      <c r="L38" s="449"/>
      <c r="M38" s="701"/>
      <c r="N38" s="32"/>
      <c r="O38" s="33"/>
      <c r="P38" s="33"/>
      <c r="Q38" s="33"/>
      <c r="R38" s="711"/>
    </row>
    <row r="39" spans="2:22" s="45" customFormat="1" ht="12" customHeight="1" x14ac:dyDescent="0.2">
      <c r="B39" s="21"/>
      <c r="C39" s="471" t="s">
        <v>27</v>
      </c>
      <c r="D39" s="21"/>
      <c r="E39" s="21"/>
      <c r="F39" s="44">
        <v>1173</v>
      </c>
      <c r="G39" s="44">
        <v>1202</v>
      </c>
      <c r="H39" s="44">
        <v>1227</v>
      </c>
      <c r="I39" s="39">
        <v>1283</v>
      </c>
      <c r="J39" s="39">
        <v>1288</v>
      </c>
      <c r="K39" s="85">
        <v>1346</v>
      </c>
      <c r="L39" s="85">
        <v>1310</v>
      </c>
      <c r="M39" s="699">
        <v>1365</v>
      </c>
      <c r="N39" s="32"/>
      <c r="O39" s="33"/>
      <c r="P39" s="33"/>
      <c r="Q39" s="33"/>
      <c r="R39" s="711"/>
      <c r="T39" s="814"/>
      <c r="U39" s="65"/>
      <c r="V39" s="814"/>
    </row>
    <row r="40" spans="2:22" s="45" customFormat="1" ht="12" customHeight="1" x14ac:dyDescent="0.2">
      <c r="B40" s="21"/>
      <c r="C40" s="471"/>
      <c r="D40" s="21"/>
      <c r="E40" s="21"/>
      <c r="F40" s="39"/>
      <c r="G40" s="39"/>
      <c r="H40" s="39"/>
      <c r="I40" s="39"/>
      <c r="J40" s="39"/>
      <c r="K40" s="85"/>
      <c r="L40" s="85"/>
      <c r="M40" s="699"/>
      <c r="N40" s="32"/>
      <c r="O40" s="33"/>
      <c r="P40" s="33"/>
      <c r="Q40" s="33"/>
      <c r="R40" s="711"/>
    </row>
    <row r="41" spans="2:22" ht="12" customHeight="1" x14ac:dyDescent="0.2">
      <c r="C41" s="21" t="s">
        <v>425</v>
      </c>
      <c r="D41" s="21"/>
      <c r="E41" s="471"/>
      <c r="F41" s="39"/>
      <c r="G41" s="39"/>
      <c r="H41" s="39"/>
      <c r="I41" s="39"/>
      <c r="J41" s="39"/>
      <c r="K41" s="85"/>
      <c r="L41" s="85"/>
      <c r="M41" s="699"/>
      <c r="N41" s="32"/>
      <c r="O41" s="33"/>
      <c r="P41" s="33"/>
      <c r="Q41" s="33"/>
      <c r="R41" s="711"/>
    </row>
    <row r="42" spans="2:22" ht="12" customHeight="1" x14ac:dyDescent="0.2">
      <c r="B42" s="21"/>
      <c r="C42" s="471" t="s">
        <v>19</v>
      </c>
      <c r="E42" s="471"/>
      <c r="F42" s="38"/>
      <c r="G42" s="38"/>
      <c r="H42" s="38"/>
      <c r="I42" s="39"/>
      <c r="J42" s="39"/>
      <c r="K42" s="85"/>
      <c r="L42" s="85"/>
      <c r="M42" s="699"/>
      <c r="N42" s="32"/>
      <c r="O42" s="51"/>
      <c r="P42" s="51"/>
      <c r="Q42" s="51"/>
      <c r="R42" s="715"/>
    </row>
    <row r="43" spans="2:22" ht="12" customHeight="1" x14ac:dyDescent="0.2">
      <c r="B43" s="21"/>
      <c r="C43" s="41" t="s">
        <v>20</v>
      </c>
      <c r="E43" s="471"/>
      <c r="F43" s="38">
        <v>799</v>
      </c>
      <c r="G43" s="38">
        <v>811</v>
      </c>
      <c r="H43" s="38">
        <v>836</v>
      </c>
      <c r="I43" s="38">
        <v>890</v>
      </c>
      <c r="J43" s="38">
        <v>886</v>
      </c>
      <c r="K43" s="449">
        <v>881</v>
      </c>
      <c r="L43" s="449">
        <v>875</v>
      </c>
      <c r="M43" s="699">
        <v>861</v>
      </c>
      <c r="N43" s="32"/>
      <c r="O43" s="51"/>
      <c r="P43" s="51"/>
      <c r="Q43" s="51"/>
      <c r="R43" s="715"/>
      <c r="T43" s="814"/>
      <c r="V43" s="814"/>
    </row>
    <row r="44" spans="2:22" ht="12" customHeight="1" x14ac:dyDescent="0.2">
      <c r="B44" s="21"/>
      <c r="C44" s="41" t="s">
        <v>21</v>
      </c>
      <c r="E44" s="471"/>
      <c r="F44" s="42">
        <v>18</v>
      </c>
      <c r="G44" s="42">
        <v>23</v>
      </c>
      <c r="H44" s="42">
        <v>27</v>
      </c>
      <c r="I44" s="42">
        <v>29</v>
      </c>
      <c r="J44" s="42">
        <v>32</v>
      </c>
      <c r="K44" s="452">
        <v>35</v>
      </c>
      <c r="L44" s="452">
        <v>37</v>
      </c>
      <c r="M44" s="700">
        <v>37</v>
      </c>
      <c r="N44" s="32"/>
      <c r="O44" s="51"/>
      <c r="P44" s="51"/>
      <c r="Q44" s="51"/>
      <c r="R44" s="715"/>
      <c r="T44" s="814"/>
      <c r="V44" s="814"/>
    </row>
    <row r="45" spans="2:22" ht="12" customHeight="1" x14ac:dyDescent="0.2">
      <c r="B45" s="21"/>
      <c r="C45" s="41" t="s">
        <v>22</v>
      </c>
      <c r="E45" s="471"/>
      <c r="F45" s="38">
        <v>817</v>
      </c>
      <c r="G45" s="38">
        <v>834</v>
      </c>
      <c r="H45" s="38">
        <f>SUM(H43:H44)</f>
        <v>863</v>
      </c>
      <c r="I45" s="38">
        <v>919</v>
      </c>
      <c r="J45" s="38">
        <v>918</v>
      </c>
      <c r="K45" s="449">
        <v>916</v>
      </c>
      <c r="L45" s="449">
        <f>SUM(L43:L44)</f>
        <v>912</v>
      </c>
      <c r="M45" s="701">
        <f>SUM(M43:M44)</f>
        <v>898</v>
      </c>
      <c r="N45" s="32"/>
      <c r="O45" s="51"/>
      <c r="P45" s="51"/>
      <c r="Q45" s="51"/>
      <c r="R45" s="715"/>
      <c r="T45" s="814"/>
      <c r="V45" s="814"/>
    </row>
    <row r="46" spans="2:22" ht="12" customHeight="1" x14ac:dyDescent="0.2">
      <c r="B46" s="21"/>
      <c r="C46" s="471" t="s">
        <v>23</v>
      </c>
      <c r="E46" s="471"/>
      <c r="F46" s="38"/>
      <c r="G46" s="38"/>
      <c r="H46" s="38"/>
      <c r="I46" s="39"/>
      <c r="J46" s="39"/>
      <c r="K46" s="85"/>
      <c r="L46" s="85"/>
      <c r="M46" s="699"/>
      <c r="N46" s="32"/>
      <c r="O46" s="51"/>
      <c r="P46" s="51"/>
      <c r="Q46" s="51"/>
      <c r="R46" s="715"/>
    </row>
    <row r="47" spans="2:22" ht="12" customHeight="1" x14ac:dyDescent="0.2">
      <c r="B47" s="21"/>
      <c r="C47" s="41" t="s">
        <v>20</v>
      </c>
      <c r="E47" s="471"/>
      <c r="F47" s="38">
        <v>258</v>
      </c>
      <c r="G47" s="38">
        <v>227</v>
      </c>
      <c r="H47" s="38">
        <v>205</v>
      </c>
      <c r="I47" s="38">
        <v>198</v>
      </c>
      <c r="J47" s="38">
        <v>191</v>
      </c>
      <c r="K47" s="449">
        <v>203</v>
      </c>
      <c r="L47" s="449">
        <v>160</v>
      </c>
      <c r="M47" s="701">
        <v>150</v>
      </c>
      <c r="N47" s="32"/>
      <c r="O47" s="51"/>
      <c r="P47" s="51"/>
      <c r="Q47" s="51"/>
      <c r="R47" s="715"/>
      <c r="T47" s="814"/>
      <c r="V47" s="814"/>
    </row>
    <row r="48" spans="2:22" ht="12" customHeight="1" x14ac:dyDescent="0.2">
      <c r="B48" s="21"/>
      <c r="C48" s="41" t="s">
        <v>21</v>
      </c>
      <c r="E48" s="471"/>
      <c r="F48" s="42">
        <v>125</v>
      </c>
      <c r="G48" s="42">
        <v>122</v>
      </c>
      <c r="H48" s="42">
        <v>111</v>
      </c>
      <c r="I48" s="42">
        <v>107</v>
      </c>
      <c r="J48" s="42">
        <v>108</v>
      </c>
      <c r="K48" s="452">
        <v>105</v>
      </c>
      <c r="L48" s="452">
        <v>92</v>
      </c>
      <c r="M48" s="703">
        <v>82</v>
      </c>
      <c r="N48" s="32"/>
      <c r="O48" s="51"/>
      <c r="P48" s="51"/>
      <c r="Q48" s="51"/>
      <c r="R48" s="715"/>
      <c r="T48" s="814"/>
      <c r="V48" s="814"/>
    </row>
    <row r="49" spans="2:22" ht="12" customHeight="1" x14ac:dyDescent="0.2">
      <c r="B49" s="21"/>
      <c r="C49" s="41" t="s">
        <v>22</v>
      </c>
      <c r="E49" s="471"/>
      <c r="F49" s="38">
        <v>383</v>
      </c>
      <c r="G49" s="38">
        <v>349</v>
      </c>
      <c r="H49" s="38">
        <f>SUM(H47:H48)</f>
        <v>316</v>
      </c>
      <c r="I49" s="38">
        <v>305</v>
      </c>
      <c r="J49" s="38">
        <v>299</v>
      </c>
      <c r="K49" s="449">
        <v>308</v>
      </c>
      <c r="L49" s="449">
        <f>SUM(L47:L48)</f>
        <v>252</v>
      </c>
      <c r="M49" s="701">
        <f>SUM(M47:M48)</f>
        <v>232</v>
      </c>
      <c r="N49" s="32"/>
      <c r="O49" s="51"/>
      <c r="P49" s="51"/>
      <c r="Q49" s="51"/>
      <c r="R49" s="715"/>
      <c r="T49" s="814"/>
      <c r="V49" s="814"/>
    </row>
    <row r="50" spans="2:22" ht="12" customHeight="1" x14ac:dyDescent="0.2">
      <c r="B50" s="21"/>
      <c r="C50" s="471" t="s">
        <v>24</v>
      </c>
      <c r="E50" s="471"/>
      <c r="F50" s="38">
        <v>105</v>
      </c>
      <c r="G50" s="38">
        <v>102</v>
      </c>
      <c r="H50" s="38">
        <v>100</v>
      </c>
      <c r="I50" s="38">
        <v>81</v>
      </c>
      <c r="J50" s="38">
        <v>79</v>
      </c>
      <c r="K50" s="449">
        <v>77</v>
      </c>
      <c r="L50" s="449">
        <v>73</v>
      </c>
      <c r="M50" s="699">
        <v>67</v>
      </c>
      <c r="N50" s="32"/>
      <c r="O50" s="51"/>
      <c r="P50" s="51"/>
      <c r="Q50" s="51"/>
      <c r="R50" s="715"/>
      <c r="T50" s="814"/>
      <c r="V50" s="814"/>
    </row>
    <row r="51" spans="2:22" ht="12" customHeight="1" x14ac:dyDescent="0.2">
      <c r="B51" s="21"/>
      <c r="C51" s="471" t="s">
        <v>25</v>
      </c>
      <c r="E51" s="471"/>
      <c r="F51" s="38">
        <v>430</v>
      </c>
      <c r="G51" s="38">
        <v>418</v>
      </c>
      <c r="H51" s="38">
        <v>426</v>
      </c>
      <c r="I51" s="38">
        <v>438</v>
      </c>
      <c r="J51" s="38">
        <v>425</v>
      </c>
      <c r="K51" s="449">
        <v>426</v>
      </c>
      <c r="L51" s="449">
        <v>732</v>
      </c>
      <c r="M51" s="699">
        <v>776</v>
      </c>
      <c r="N51" s="32"/>
      <c r="O51" s="51"/>
      <c r="P51" s="51"/>
      <c r="Q51" s="51"/>
      <c r="R51" s="715"/>
      <c r="T51" s="814"/>
      <c r="V51" s="814"/>
    </row>
    <row r="52" spans="2:22" ht="12" customHeight="1" x14ac:dyDescent="0.2">
      <c r="B52" s="21"/>
      <c r="C52" s="471" t="s">
        <v>26</v>
      </c>
      <c r="E52" s="471"/>
      <c r="F52" s="38">
        <v>94</v>
      </c>
      <c r="G52" s="38">
        <v>96</v>
      </c>
      <c r="H52" s="38">
        <v>101</v>
      </c>
      <c r="I52" s="38">
        <v>98</v>
      </c>
      <c r="J52" s="38">
        <v>94</v>
      </c>
      <c r="K52" s="449">
        <v>89</v>
      </c>
      <c r="L52" s="449">
        <v>80</v>
      </c>
      <c r="M52" s="699">
        <v>86</v>
      </c>
      <c r="N52" s="32"/>
      <c r="O52" s="51"/>
      <c r="P52" s="51"/>
      <c r="Q52" s="51"/>
      <c r="R52" s="715"/>
      <c r="T52" s="814"/>
      <c r="V52" s="814"/>
    </row>
    <row r="53" spans="2:22" s="45" customFormat="1" ht="12" customHeight="1" x14ac:dyDescent="0.2">
      <c r="B53" s="21"/>
      <c r="C53" s="21" t="s">
        <v>30</v>
      </c>
      <c r="D53" s="21"/>
      <c r="E53" s="21"/>
      <c r="F53" s="47">
        <v>1829</v>
      </c>
      <c r="G53" s="47">
        <v>1799</v>
      </c>
      <c r="H53" s="47">
        <f>SUM(H49:H52)+H45</f>
        <v>1806</v>
      </c>
      <c r="I53" s="47">
        <v>1841</v>
      </c>
      <c r="J53" s="47">
        <v>1815</v>
      </c>
      <c r="K53" s="454">
        <v>1816</v>
      </c>
      <c r="L53" s="454">
        <f>SUM(L49:L52)+L45</f>
        <v>2049</v>
      </c>
      <c r="M53" s="704">
        <f>SUM(M49:M52)+M45</f>
        <v>2059</v>
      </c>
      <c r="N53" s="49"/>
      <c r="O53" s="37">
        <v>-5.0999999999999996</v>
      </c>
      <c r="P53" s="37">
        <v>-6.1</v>
      </c>
      <c r="Q53" s="37">
        <v>-7.9</v>
      </c>
      <c r="R53" s="712">
        <v>-5.8</v>
      </c>
      <c r="T53" s="814"/>
      <c r="U53" s="65"/>
      <c r="V53" s="814"/>
    </row>
    <row r="54" spans="2:22" ht="6" customHeight="1" x14ac:dyDescent="0.2">
      <c r="E54" s="471"/>
      <c r="F54" s="38"/>
      <c r="G54" s="38"/>
      <c r="H54" s="38"/>
      <c r="I54" s="38"/>
      <c r="J54" s="38"/>
      <c r="K54" s="449"/>
      <c r="L54" s="449"/>
      <c r="M54" s="701"/>
      <c r="N54" s="32"/>
      <c r="O54" s="33"/>
      <c r="P54" s="33"/>
      <c r="Q54" s="33"/>
      <c r="R54" s="711"/>
    </row>
    <row r="55" spans="2:22" ht="12" customHeight="1" x14ac:dyDescent="0.2">
      <c r="C55" s="471" t="s">
        <v>27</v>
      </c>
      <c r="E55" s="471"/>
      <c r="F55" s="44">
        <v>399</v>
      </c>
      <c r="G55" s="44">
        <v>397</v>
      </c>
      <c r="H55" s="44">
        <v>410</v>
      </c>
      <c r="I55" s="44">
        <v>446</v>
      </c>
      <c r="J55" s="44">
        <v>447</v>
      </c>
      <c r="K55" s="450">
        <v>458</v>
      </c>
      <c r="L55" s="450">
        <v>457</v>
      </c>
      <c r="M55" s="705">
        <v>463</v>
      </c>
      <c r="N55" s="32"/>
      <c r="O55" s="33"/>
      <c r="P55" s="33"/>
      <c r="Q55" s="33"/>
      <c r="R55" s="711"/>
      <c r="T55" s="814"/>
      <c r="V55" s="814"/>
    </row>
    <row r="56" spans="2:22" ht="12" customHeight="1" x14ac:dyDescent="0.2">
      <c r="E56" s="471"/>
      <c r="F56" s="39"/>
      <c r="G56" s="39"/>
      <c r="H56" s="39"/>
      <c r="I56" s="39"/>
      <c r="J56" s="39"/>
      <c r="K56" s="85"/>
      <c r="L56" s="85"/>
      <c r="M56" s="699"/>
      <c r="N56" s="32"/>
      <c r="O56" s="33"/>
      <c r="P56" s="33"/>
      <c r="Q56" s="33"/>
      <c r="R56" s="711"/>
    </row>
    <row r="57" spans="2:22" ht="13.5" customHeight="1" x14ac:dyDescent="0.2">
      <c r="C57" s="21" t="s">
        <v>426</v>
      </c>
      <c r="E57" s="471"/>
      <c r="F57" s="39"/>
      <c r="G57" s="39"/>
      <c r="H57" s="39"/>
      <c r="I57" s="39"/>
      <c r="J57" s="39"/>
      <c r="K57" s="85"/>
      <c r="L57" s="85"/>
      <c r="M57" s="699"/>
      <c r="N57" s="32"/>
      <c r="O57" s="33"/>
      <c r="P57" s="33"/>
      <c r="Q57" s="33"/>
      <c r="R57" s="711"/>
    </row>
    <row r="58" spans="2:22" ht="12" customHeight="1" x14ac:dyDescent="0.2">
      <c r="C58" s="471" t="s">
        <v>19</v>
      </c>
      <c r="E58" s="471"/>
      <c r="F58" s="39"/>
      <c r="G58" s="39"/>
      <c r="H58" s="39"/>
      <c r="I58" s="39"/>
      <c r="J58" s="39"/>
      <c r="K58" s="85"/>
      <c r="L58" s="85"/>
      <c r="M58" s="699"/>
      <c r="N58" s="32"/>
      <c r="O58" s="33"/>
      <c r="P58" s="33"/>
      <c r="Q58" s="33"/>
      <c r="R58" s="711"/>
    </row>
    <row r="59" spans="2:22" ht="12" customHeight="1" x14ac:dyDescent="0.2">
      <c r="C59" s="41" t="s">
        <v>20</v>
      </c>
      <c r="E59" s="471"/>
      <c r="F59" s="38">
        <v>182</v>
      </c>
      <c r="G59" s="38">
        <v>181</v>
      </c>
      <c r="H59" s="38">
        <v>191</v>
      </c>
      <c r="I59" s="38">
        <v>205</v>
      </c>
      <c r="J59" s="38">
        <v>210</v>
      </c>
      <c r="K59" s="449">
        <v>207</v>
      </c>
      <c r="L59" s="449">
        <v>198</v>
      </c>
      <c r="M59" s="699">
        <v>199</v>
      </c>
      <c r="N59" s="32"/>
      <c r="O59" s="33"/>
      <c r="P59" s="33"/>
      <c r="Q59" s="33"/>
      <c r="R59" s="711"/>
      <c r="T59" s="814"/>
      <c r="V59" s="814"/>
    </row>
    <row r="60" spans="2:22" ht="12" customHeight="1" x14ac:dyDescent="0.2">
      <c r="C60" s="41" t="s">
        <v>21</v>
      </c>
      <c r="E60" s="471"/>
      <c r="F60" s="42">
        <v>109</v>
      </c>
      <c r="G60" s="42">
        <v>120</v>
      </c>
      <c r="H60" s="42">
        <v>139</v>
      </c>
      <c r="I60" s="42">
        <v>155</v>
      </c>
      <c r="J60" s="42">
        <v>173</v>
      </c>
      <c r="K60" s="452">
        <v>187</v>
      </c>
      <c r="L60" s="452">
        <v>181</v>
      </c>
      <c r="M60" s="700">
        <v>220</v>
      </c>
      <c r="N60" s="32"/>
      <c r="O60" s="33"/>
      <c r="P60" s="33"/>
      <c r="Q60" s="33"/>
      <c r="R60" s="711"/>
      <c r="T60" s="814"/>
      <c r="V60" s="814"/>
    </row>
    <row r="61" spans="2:22" ht="12" customHeight="1" x14ac:dyDescent="0.2">
      <c r="C61" s="41" t="s">
        <v>22</v>
      </c>
      <c r="E61" s="471"/>
      <c r="F61" s="38">
        <v>291</v>
      </c>
      <c r="G61" s="38">
        <v>301</v>
      </c>
      <c r="H61" s="38">
        <f>SUM(H59:H60)</f>
        <v>330</v>
      </c>
      <c r="I61" s="38">
        <v>360</v>
      </c>
      <c r="J61" s="38">
        <v>383</v>
      </c>
      <c r="K61" s="449">
        <v>394</v>
      </c>
      <c r="L61" s="449">
        <f>SUM(L59:L60)</f>
        <v>379</v>
      </c>
      <c r="M61" s="701">
        <f>SUM(M59:M60)</f>
        <v>419</v>
      </c>
      <c r="N61" s="32"/>
      <c r="O61" s="33"/>
      <c r="P61" s="33"/>
      <c r="Q61" s="33"/>
      <c r="R61" s="711"/>
      <c r="T61" s="814"/>
      <c r="V61" s="814"/>
    </row>
    <row r="62" spans="2:22" ht="12" customHeight="1" x14ac:dyDescent="0.2">
      <c r="C62" s="471" t="s">
        <v>23</v>
      </c>
      <c r="E62" s="471"/>
      <c r="F62" s="38"/>
      <c r="G62" s="38"/>
      <c r="H62" s="38"/>
      <c r="I62" s="39"/>
      <c r="J62" s="39"/>
      <c r="K62" s="85"/>
      <c r="L62" s="85"/>
      <c r="M62" s="699"/>
      <c r="N62" s="32"/>
      <c r="O62" s="33"/>
      <c r="P62" s="33"/>
      <c r="Q62" s="33"/>
      <c r="R62" s="711"/>
    </row>
    <row r="63" spans="2:22" ht="12" customHeight="1" x14ac:dyDescent="0.2">
      <c r="C63" s="41" t="s">
        <v>20</v>
      </c>
      <c r="E63" s="471"/>
      <c r="F63" s="38">
        <v>132</v>
      </c>
      <c r="G63" s="38">
        <v>123</v>
      </c>
      <c r="H63" s="38">
        <v>111</v>
      </c>
      <c r="I63" s="38">
        <v>104</v>
      </c>
      <c r="J63" s="38">
        <v>98</v>
      </c>
      <c r="K63" s="449">
        <v>87</v>
      </c>
      <c r="L63" s="449">
        <v>76</v>
      </c>
      <c r="M63" s="701">
        <v>73</v>
      </c>
      <c r="N63" s="32"/>
      <c r="O63" s="33"/>
      <c r="P63" s="33"/>
      <c r="Q63" s="33"/>
      <c r="R63" s="711"/>
      <c r="T63" s="814"/>
      <c r="V63" s="814"/>
    </row>
    <row r="64" spans="2:22" ht="12" customHeight="1" x14ac:dyDescent="0.2">
      <c r="B64" s="65"/>
      <c r="C64" s="41" t="s">
        <v>21</v>
      </c>
      <c r="E64" s="471"/>
      <c r="F64" s="42">
        <v>426</v>
      </c>
      <c r="G64" s="42">
        <v>409</v>
      </c>
      <c r="H64" s="42">
        <v>363</v>
      </c>
      <c r="I64" s="42">
        <v>340</v>
      </c>
      <c r="J64" s="42">
        <v>287</v>
      </c>
      <c r="K64" s="452">
        <v>260</v>
      </c>
      <c r="L64" s="452">
        <v>222</v>
      </c>
      <c r="M64" s="703">
        <v>195</v>
      </c>
      <c r="N64" s="32"/>
      <c r="O64" s="33"/>
      <c r="P64" s="33"/>
      <c r="Q64" s="33"/>
      <c r="R64" s="711"/>
      <c r="T64" s="814"/>
      <c r="V64" s="814"/>
    </row>
    <row r="65" spans="2:22" ht="12" customHeight="1" x14ac:dyDescent="0.2">
      <c r="B65" s="65"/>
      <c r="C65" s="41" t="s">
        <v>22</v>
      </c>
      <c r="E65" s="471"/>
      <c r="F65" s="38">
        <v>558</v>
      </c>
      <c r="G65" s="38">
        <v>532</v>
      </c>
      <c r="H65" s="38">
        <f>SUM(H63:H64)</f>
        <v>474</v>
      </c>
      <c r="I65" s="38">
        <v>444</v>
      </c>
      <c r="J65" s="38">
        <v>385</v>
      </c>
      <c r="K65" s="449">
        <v>347</v>
      </c>
      <c r="L65" s="449">
        <f>SUM(L63:L64)</f>
        <v>298</v>
      </c>
      <c r="M65" s="701">
        <f>SUM(M63:M64)</f>
        <v>268</v>
      </c>
      <c r="N65" s="32"/>
      <c r="O65" s="33"/>
      <c r="P65" s="33"/>
      <c r="Q65" s="33"/>
      <c r="R65" s="711"/>
      <c r="T65" s="814"/>
      <c r="V65" s="814"/>
    </row>
    <row r="66" spans="2:22" ht="12" customHeight="1" x14ac:dyDescent="0.2">
      <c r="B66" s="65"/>
      <c r="C66" s="471" t="s">
        <v>24</v>
      </c>
      <c r="E66" s="471"/>
      <c r="F66" s="38">
        <v>145</v>
      </c>
      <c r="G66" s="38">
        <v>77</v>
      </c>
      <c r="H66" s="38">
        <v>84</v>
      </c>
      <c r="I66" s="38">
        <v>64</v>
      </c>
      <c r="J66" s="38">
        <v>75</v>
      </c>
      <c r="K66" s="449">
        <v>62</v>
      </c>
      <c r="L66" s="449">
        <v>64</v>
      </c>
      <c r="M66" s="699">
        <v>66</v>
      </c>
      <c r="N66" s="32"/>
      <c r="O66" s="33"/>
      <c r="P66" s="33"/>
      <c r="Q66" s="33"/>
      <c r="R66" s="711"/>
      <c r="T66" s="814"/>
      <c r="V66" s="814"/>
    </row>
    <row r="67" spans="2:22" ht="12" customHeight="1" x14ac:dyDescent="0.2">
      <c r="B67" s="65"/>
      <c r="C67" s="471" t="s">
        <v>25</v>
      </c>
      <c r="E67" s="471"/>
      <c r="F67" s="38">
        <v>142</v>
      </c>
      <c r="G67" s="38">
        <v>130</v>
      </c>
      <c r="H67" s="38">
        <v>132</v>
      </c>
      <c r="I67" s="38">
        <v>142</v>
      </c>
      <c r="J67" s="38">
        <v>139</v>
      </c>
      <c r="K67" s="449">
        <v>140</v>
      </c>
      <c r="L67" s="449">
        <v>140</v>
      </c>
      <c r="M67" s="699">
        <v>146</v>
      </c>
      <c r="N67" s="32"/>
      <c r="O67" s="33"/>
      <c r="P67" s="33"/>
      <c r="Q67" s="33"/>
      <c r="R67" s="711"/>
      <c r="T67" s="814"/>
      <c r="V67" s="814"/>
    </row>
    <row r="68" spans="2:22" ht="12" customHeight="1" x14ac:dyDescent="0.2">
      <c r="B68" s="65"/>
      <c r="C68" s="471" t="s">
        <v>26</v>
      </c>
      <c r="E68" s="471"/>
      <c r="F68" s="38">
        <v>46</v>
      </c>
      <c r="G68" s="38">
        <v>48</v>
      </c>
      <c r="H68" s="38">
        <v>39</v>
      </c>
      <c r="I68" s="38">
        <v>41</v>
      </c>
      <c r="J68" s="38">
        <v>36</v>
      </c>
      <c r="K68" s="449">
        <v>42</v>
      </c>
      <c r="L68" s="449">
        <v>37</v>
      </c>
      <c r="M68" s="699">
        <v>43</v>
      </c>
      <c r="N68" s="32"/>
      <c r="O68" s="33"/>
      <c r="P68" s="33"/>
      <c r="Q68" s="33"/>
      <c r="R68" s="711"/>
      <c r="T68" s="814"/>
      <c r="V68" s="814"/>
    </row>
    <row r="69" spans="2:22" ht="12" customHeight="1" x14ac:dyDescent="0.2">
      <c r="B69" s="65"/>
      <c r="C69" s="21" t="s">
        <v>35</v>
      </c>
      <c r="D69" s="21"/>
      <c r="E69" s="21"/>
      <c r="F69" s="47">
        <v>1182</v>
      </c>
      <c r="G69" s="47">
        <v>1088</v>
      </c>
      <c r="H69" s="47">
        <f>SUM(H65:H68)+H61</f>
        <v>1059</v>
      </c>
      <c r="I69" s="47">
        <v>1051</v>
      </c>
      <c r="J69" s="47">
        <v>1018</v>
      </c>
      <c r="K69" s="454">
        <v>985</v>
      </c>
      <c r="L69" s="454">
        <f>SUM(L65:L68)+L61</f>
        <v>918</v>
      </c>
      <c r="M69" s="704">
        <f>SUM(M65:M68)+M61</f>
        <v>942</v>
      </c>
      <c r="N69" s="49"/>
      <c r="O69" s="37">
        <v>-17.600000000000001</v>
      </c>
      <c r="P69" s="37">
        <v>-15.7</v>
      </c>
      <c r="Q69" s="37">
        <v>-16.600000000000001</v>
      </c>
      <c r="R69" s="712">
        <v>-18.3</v>
      </c>
      <c r="T69" s="814"/>
      <c r="V69" s="814"/>
    </row>
    <row r="70" spans="2:22" ht="6" customHeight="1" x14ac:dyDescent="0.2">
      <c r="B70" s="65"/>
      <c r="E70" s="471"/>
      <c r="F70" s="38"/>
      <c r="G70" s="38"/>
      <c r="H70" s="38"/>
      <c r="I70" s="38"/>
      <c r="J70" s="38"/>
      <c r="K70" s="449"/>
      <c r="L70" s="449"/>
      <c r="M70" s="701"/>
      <c r="N70" s="32"/>
      <c r="O70" s="33"/>
      <c r="P70" s="33"/>
      <c r="Q70" s="33"/>
      <c r="R70" s="711"/>
    </row>
    <row r="71" spans="2:22" ht="12" customHeight="1" x14ac:dyDescent="0.2">
      <c r="B71" s="65"/>
      <c r="C71" s="471" t="s">
        <v>27</v>
      </c>
      <c r="E71" s="471"/>
      <c r="F71" s="44">
        <v>172</v>
      </c>
      <c r="G71" s="44">
        <v>177</v>
      </c>
      <c r="H71" s="44">
        <v>173</v>
      </c>
      <c r="I71" s="44">
        <v>182</v>
      </c>
      <c r="J71" s="44">
        <v>179</v>
      </c>
      <c r="K71" s="450">
        <v>187</v>
      </c>
      <c r="L71" s="450">
        <v>171</v>
      </c>
      <c r="M71" s="705">
        <v>185</v>
      </c>
      <c r="N71" s="32"/>
      <c r="O71" s="33"/>
      <c r="P71" s="33"/>
      <c r="Q71" s="33"/>
      <c r="R71" s="711"/>
      <c r="T71" s="814"/>
      <c r="V71" s="814"/>
    </row>
    <row r="72" spans="2:22" ht="12" customHeight="1" x14ac:dyDescent="0.2">
      <c r="B72" s="65"/>
      <c r="E72" s="471"/>
      <c r="F72" s="44"/>
      <c r="G72" s="44"/>
      <c r="H72" s="44"/>
      <c r="I72" s="44"/>
      <c r="J72" s="44"/>
      <c r="K72" s="450"/>
      <c r="L72" s="450"/>
      <c r="M72" s="705"/>
      <c r="N72" s="32"/>
      <c r="O72" s="33"/>
      <c r="P72" s="33"/>
      <c r="Q72" s="33"/>
      <c r="R72" s="711"/>
    </row>
    <row r="73" spans="2:22" ht="12" customHeight="1" x14ac:dyDescent="0.2">
      <c r="B73" s="65"/>
      <c r="C73" s="21" t="s">
        <v>31</v>
      </c>
      <c r="E73" s="471"/>
      <c r="F73" s="39"/>
      <c r="G73" s="39"/>
      <c r="H73" s="39"/>
      <c r="I73" s="39"/>
      <c r="J73" s="39"/>
      <c r="K73" s="85"/>
      <c r="L73" s="85"/>
      <c r="M73" s="699"/>
      <c r="N73" s="32"/>
      <c r="O73" s="33"/>
      <c r="P73" s="33"/>
      <c r="Q73" s="33"/>
      <c r="R73" s="711"/>
    </row>
    <row r="74" spans="2:22" ht="12" customHeight="1" x14ac:dyDescent="0.2">
      <c r="B74" s="65"/>
      <c r="C74" s="471" t="s">
        <v>19</v>
      </c>
      <c r="E74" s="471"/>
      <c r="F74" s="38"/>
      <c r="G74" s="38"/>
      <c r="H74" s="38"/>
      <c r="I74" s="39"/>
      <c r="J74" s="39"/>
      <c r="K74" s="85"/>
      <c r="L74" s="85"/>
      <c r="M74" s="699"/>
      <c r="N74" s="32"/>
      <c r="O74" s="33"/>
      <c r="P74" s="33"/>
      <c r="Q74" s="33"/>
      <c r="R74" s="711"/>
    </row>
    <row r="75" spans="2:22" ht="12" customHeight="1" x14ac:dyDescent="0.2">
      <c r="B75" s="65"/>
      <c r="C75" s="41" t="s">
        <v>20</v>
      </c>
      <c r="E75" s="471"/>
      <c r="F75" s="38">
        <v>569</v>
      </c>
      <c r="G75" s="38">
        <v>580</v>
      </c>
      <c r="H75" s="38">
        <v>594</v>
      </c>
      <c r="I75" s="38">
        <v>589</v>
      </c>
      <c r="J75" s="38">
        <v>587</v>
      </c>
      <c r="K75" s="449">
        <v>588</v>
      </c>
      <c r="L75" s="449">
        <v>606</v>
      </c>
      <c r="M75" s="699">
        <v>610</v>
      </c>
      <c r="N75" s="32"/>
      <c r="O75" s="33"/>
      <c r="P75" s="33"/>
      <c r="Q75" s="33"/>
      <c r="R75" s="711"/>
      <c r="T75" s="814"/>
      <c r="V75" s="814"/>
    </row>
    <row r="76" spans="2:22" ht="12" customHeight="1" x14ac:dyDescent="0.2">
      <c r="B76" s="65"/>
      <c r="C76" s="41" t="s">
        <v>21</v>
      </c>
      <c r="E76" s="471"/>
      <c r="F76" s="42">
        <v>35</v>
      </c>
      <c r="G76" s="42">
        <v>34</v>
      </c>
      <c r="H76" s="42">
        <v>35</v>
      </c>
      <c r="I76" s="42">
        <v>27</v>
      </c>
      <c r="J76" s="42">
        <v>26</v>
      </c>
      <c r="K76" s="452">
        <v>23</v>
      </c>
      <c r="L76" s="452">
        <v>22</v>
      </c>
      <c r="M76" s="700">
        <v>16</v>
      </c>
      <c r="N76" s="32"/>
      <c r="O76" s="33"/>
      <c r="P76" s="33"/>
      <c r="Q76" s="33"/>
      <c r="R76" s="711"/>
      <c r="T76" s="814"/>
      <c r="V76" s="814"/>
    </row>
    <row r="77" spans="2:22" ht="12" customHeight="1" x14ac:dyDescent="0.2">
      <c r="B77" s="65"/>
      <c r="C77" s="41" t="s">
        <v>22</v>
      </c>
      <c r="E77" s="471"/>
      <c r="F77" s="38">
        <v>604</v>
      </c>
      <c r="G77" s="38">
        <v>614</v>
      </c>
      <c r="H77" s="38">
        <f>SUM(H75:H76)</f>
        <v>629</v>
      </c>
      <c r="I77" s="38">
        <v>616</v>
      </c>
      <c r="J77" s="38">
        <v>613</v>
      </c>
      <c r="K77" s="449">
        <v>611</v>
      </c>
      <c r="L77" s="449">
        <f>SUM(L75:L76)</f>
        <v>628</v>
      </c>
      <c r="M77" s="701">
        <f>SUM(M75:M76)</f>
        <v>626</v>
      </c>
      <c r="N77" s="32"/>
      <c r="O77" s="33"/>
      <c r="P77" s="33"/>
      <c r="Q77" s="33"/>
      <c r="R77" s="711"/>
      <c r="T77" s="814"/>
      <c r="V77" s="814"/>
    </row>
    <row r="78" spans="2:22" ht="12" customHeight="1" x14ac:dyDescent="0.2">
      <c r="B78" s="65"/>
      <c r="C78" s="471" t="s">
        <v>23</v>
      </c>
      <c r="E78" s="471"/>
      <c r="F78" s="38"/>
      <c r="G78" s="38"/>
      <c r="H78" s="38"/>
      <c r="I78" s="39"/>
      <c r="J78" s="39"/>
      <c r="K78" s="85"/>
      <c r="L78" s="85"/>
      <c r="M78" s="699"/>
      <c r="N78" s="32"/>
      <c r="O78" s="33"/>
      <c r="P78" s="33"/>
      <c r="Q78" s="33"/>
      <c r="R78" s="711"/>
    </row>
    <row r="79" spans="2:22" ht="12" customHeight="1" x14ac:dyDescent="0.2">
      <c r="B79" s="65"/>
      <c r="C79" s="41" t="s">
        <v>20</v>
      </c>
      <c r="E79" s="471"/>
      <c r="F79" s="38">
        <v>278</v>
      </c>
      <c r="G79" s="38">
        <v>288</v>
      </c>
      <c r="H79" s="38">
        <v>272</v>
      </c>
      <c r="I79" s="38">
        <v>262</v>
      </c>
      <c r="J79" s="38">
        <v>271</v>
      </c>
      <c r="K79" s="449">
        <v>283</v>
      </c>
      <c r="L79" s="449">
        <v>253</v>
      </c>
      <c r="M79" s="701">
        <v>239</v>
      </c>
      <c r="N79" s="32"/>
      <c r="O79" s="33"/>
      <c r="P79" s="33"/>
      <c r="Q79" s="33"/>
      <c r="R79" s="711"/>
      <c r="T79" s="814"/>
      <c r="V79" s="814"/>
    </row>
    <row r="80" spans="2:22" ht="12" customHeight="1" x14ac:dyDescent="0.2">
      <c r="C80" s="41" t="s">
        <v>21</v>
      </c>
      <c r="E80" s="471"/>
      <c r="F80" s="42">
        <v>85</v>
      </c>
      <c r="G80" s="42">
        <v>83</v>
      </c>
      <c r="H80" s="42">
        <v>78</v>
      </c>
      <c r="I80" s="42">
        <v>71</v>
      </c>
      <c r="J80" s="42">
        <v>67</v>
      </c>
      <c r="K80" s="452">
        <v>68</v>
      </c>
      <c r="L80" s="452">
        <v>69</v>
      </c>
      <c r="M80" s="703">
        <v>65</v>
      </c>
      <c r="N80" s="32"/>
      <c r="O80" s="33"/>
      <c r="P80" s="33"/>
      <c r="Q80" s="33"/>
      <c r="R80" s="711"/>
      <c r="T80" s="814"/>
      <c r="V80" s="814"/>
    </row>
    <row r="81" spans="2:22" ht="12" customHeight="1" x14ac:dyDescent="0.2">
      <c r="C81" s="41" t="s">
        <v>22</v>
      </c>
      <c r="E81" s="471"/>
      <c r="F81" s="38">
        <v>363</v>
      </c>
      <c r="G81" s="38">
        <v>371</v>
      </c>
      <c r="H81" s="38">
        <f>SUM(H79:H80)</f>
        <v>350</v>
      </c>
      <c r="I81" s="38">
        <v>333</v>
      </c>
      <c r="J81" s="38">
        <v>338</v>
      </c>
      <c r="K81" s="449">
        <v>351</v>
      </c>
      <c r="L81" s="449">
        <f>SUM(L79:L80)</f>
        <v>322</v>
      </c>
      <c r="M81" s="701">
        <f>SUM(M79:M80)</f>
        <v>304</v>
      </c>
      <c r="N81" s="32"/>
      <c r="O81" s="33"/>
      <c r="P81" s="33"/>
      <c r="Q81" s="33"/>
      <c r="R81" s="711"/>
      <c r="T81" s="814"/>
      <c r="V81" s="814"/>
    </row>
    <row r="82" spans="2:22" ht="12" customHeight="1" x14ac:dyDescent="0.2">
      <c r="C82" s="471" t="s">
        <v>24</v>
      </c>
      <c r="E82" s="471"/>
      <c r="F82" s="38">
        <v>135</v>
      </c>
      <c r="G82" s="38">
        <v>128</v>
      </c>
      <c r="H82" s="38">
        <v>128</v>
      </c>
      <c r="I82" s="38">
        <v>126</v>
      </c>
      <c r="J82" s="38">
        <v>98</v>
      </c>
      <c r="K82" s="449">
        <v>96</v>
      </c>
      <c r="L82" s="449">
        <v>95</v>
      </c>
      <c r="M82" s="699">
        <v>91</v>
      </c>
      <c r="N82" s="32"/>
      <c r="O82" s="33"/>
      <c r="P82" s="33"/>
      <c r="Q82" s="33"/>
      <c r="R82" s="711"/>
      <c r="T82" s="814"/>
      <c r="V82" s="814"/>
    </row>
    <row r="83" spans="2:22" ht="12" customHeight="1" x14ac:dyDescent="0.2">
      <c r="C83" s="471" t="s">
        <v>25</v>
      </c>
      <c r="E83" s="471"/>
      <c r="F83" s="38">
        <v>12</v>
      </c>
      <c r="G83" s="38">
        <v>12</v>
      </c>
      <c r="H83" s="38">
        <v>11</v>
      </c>
      <c r="I83" s="38">
        <v>13</v>
      </c>
      <c r="J83" s="38">
        <v>395</v>
      </c>
      <c r="K83" s="449">
        <v>396</v>
      </c>
      <c r="L83" s="449">
        <v>396</v>
      </c>
      <c r="M83" s="699">
        <v>409</v>
      </c>
      <c r="N83" s="32"/>
      <c r="O83" s="33"/>
      <c r="P83" s="33"/>
      <c r="Q83" s="33"/>
      <c r="R83" s="711"/>
      <c r="T83" s="814"/>
      <c r="V83" s="814"/>
    </row>
    <row r="84" spans="2:22" ht="12" customHeight="1" x14ac:dyDescent="0.2">
      <c r="C84" s="471" t="s">
        <v>26</v>
      </c>
      <c r="E84" s="471"/>
      <c r="F84" s="38">
        <v>84</v>
      </c>
      <c r="G84" s="38">
        <v>88</v>
      </c>
      <c r="H84" s="38">
        <v>83</v>
      </c>
      <c r="I84" s="38">
        <v>82</v>
      </c>
      <c r="J84" s="38">
        <v>77</v>
      </c>
      <c r="K84" s="449">
        <v>83</v>
      </c>
      <c r="L84" s="449">
        <v>77</v>
      </c>
      <c r="M84" s="699">
        <v>89</v>
      </c>
      <c r="N84" s="32"/>
      <c r="O84" s="33"/>
      <c r="P84" s="33"/>
      <c r="Q84" s="33"/>
      <c r="R84" s="711"/>
      <c r="T84" s="814"/>
      <c r="V84" s="814"/>
    </row>
    <row r="85" spans="2:22" s="45" customFormat="1" ht="12" customHeight="1" x14ac:dyDescent="0.2">
      <c r="B85" s="21"/>
      <c r="C85" s="21" t="s">
        <v>32</v>
      </c>
      <c r="D85" s="21"/>
      <c r="E85" s="21"/>
      <c r="F85" s="47">
        <v>1198</v>
      </c>
      <c r="G85" s="47">
        <v>1213</v>
      </c>
      <c r="H85" s="47">
        <f>SUM(H81:H84)+H77</f>
        <v>1201</v>
      </c>
      <c r="I85" s="47">
        <v>1170</v>
      </c>
      <c r="J85" s="47">
        <v>1521</v>
      </c>
      <c r="K85" s="454">
        <v>1537</v>
      </c>
      <c r="L85" s="454">
        <f>SUM(L81:L84)+L77</f>
        <v>1518</v>
      </c>
      <c r="M85" s="704">
        <f>SUM(M81:M84)+M77</f>
        <v>1519</v>
      </c>
      <c r="N85" s="49"/>
      <c r="O85" s="37">
        <v>-4.5</v>
      </c>
      <c r="P85" s="37">
        <v>-4.3</v>
      </c>
      <c r="Q85" s="37">
        <v>-5.0999999999999996</v>
      </c>
      <c r="R85" s="712">
        <v>-3.6</v>
      </c>
      <c r="T85" s="814"/>
      <c r="U85" s="65"/>
      <c r="V85" s="814"/>
    </row>
    <row r="86" spans="2:22" ht="6" customHeight="1" x14ac:dyDescent="0.2">
      <c r="E86" s="471"/>
      <c r="F86" s="38"/>
      <c r="G86" s="38"/>
      <c r="H86" s="38"/>
      <c r="I86" s="38"/>
      <c r="J86" s="38"/>
      <c r="K86" s="449"/>
      <c r="L86" s="449"/>
      <c r="M86" s="701"/>
      <c r="N86" s="32"/>
      <c r="O86" s="33"/>
      <c r="P86" s="33"/>
      <c r="Q86" s="33"/>
      <c r="R86" s="711"/>
    </row>
    <row r="87" spans="2:22" ht="12" customHeight="1" x14ac:dyDescent="0.2">
      <c r="C87" s="471" t="s">
        <v>27</v>
      </c>
      <c r="E87" s="471"/>
      <c r="F87" s="44">
        <v>222</v>
      </c>
      <c r="G87" s="44">
        <v>232</v>
      </c>
      <c r="H87" s="44">
        <v>234</v>
      </c>
      <c r="I87" s="44">
        <v>221</v>
      </c>
      <c r="J87" s="39">
        <v>217</v>
      </c>
      <c r="K87" s="85">
        <v>219</v>
      </c>
      <c r="L87" s="85">
        <v>216</v>
      </c>
      <c r="M87" s="699">
        <v>248</v>
      </c>
      <c r="N87" s="32"/>
      <c r="O87" s="33"/>
      <c r="P87" s="33"/>
      <c r="Q87" s="33"/>
      <c r="R87" s="711"/>
      <c r="T87" s="814"/>
      <c r="V87" s="814"/>
    </row>
    <row r="88" spans="2:22" ht="12" customHeight="1" x14ac:dyDescent="0.2">
      <c r="C88" s="52"/>
      <c r="E88" s="471"/>
      <c r="F88" s="39"/>
      <c r="G88" s="39"/>
      <c r="H88" s="39"/>
      <c r="I88" s="39"/>
      <c r="J88" s="39"/>
      <c r="K88" s="85"/>
      <c r="L88" s="85"/>
      <c r="M88" s="699"/>
      <c r="N88" s="32"/>
      <c r="O88" s="33"/>
      <c r="P88" s="33"/>
      <c r="Q88" s="33"/>
      <c r="R88" s="711"/>
    </row>
    <row r="89" spans="2:22" ht="12" customHeight="1" x14ac:dyDescent="0.2">
      <c r="C89" s="21" t="s">
        <v>36</v>
      </c>
      <c r="E89" s="471"/>
      <c r="F89" s="39"/>
      <c r="G89" s="39"/>
      <c r="H89" s="39"/>
      <c r="I89" s="39"/>
      <c r="J89" s="39"/>
      <c r="K89" s="85"/>
      <c r="L89" s="85"/>
      <c r="M89" s="699"/>
      <c r="N89" s="32"/>
      <c r="O89" s="33"/>
      <c r="P89" s="33"/>
      <c r="Q89" s="33"/>
      <c r="R89" s="711"/>
    </row>
    <row r="90" spans="2:22" ht="12" customHeight="1" x14ac:dyDescent="0.2">
      <c r="C90" s="471" t="s">
        <v>19</v>
      </c>
      <c r="E90" s="471"/>
      <c r="F90" s="54"/>
      <c r="G90" s="54"/>
      <c r="H90" s="54"/>
      <c r="I90" s="54"/>
      <c r="J90" s="54"/>
      <c r="K90" s="455"/>
      <c r="L90" s="455"/>
      <c r="M90" s="706"/>
      <c r="N90" s="32"/>
      <c r="O90" s="33"/>
      <c r="P90" s="33"/>
      <c r="Q90" s="33"/>
      <c r="R90" s="711"/>
    </row>
    <row r="91" spans="2:22" ht="12" customHeight="1" x14ac:dyDescent="0.2">
      <c r="C91" s="41" t="s">
        <v>20</v>
      </c>
      <c r="E91" s="471"/>
      <c r="F91" s="38">
        <v>445</v>
      </c>
      <c r="G91" s="38">
        <v>441</v>
      </c>
      <c r="H91" s="38">
        <v>455</v>
      </c>
      <c r="I91" s="38">
        <v>476</v>
      </c>
      <c r="J91" s="38">
        <v>481</v>
      </c>
      <c r="K91" s="449">
        <v>476</v>
      </c>
      <c r="L91" s="449">
        <v>460</v>
      </c>
      <c r="M91" s="699">
        <v>437</v>
      </c>
      <c r="N91" s="32"/>
      <c r="O91" s="33"/>
      <c r="P91" s="33"/>
      <c r="Q91" s="33"/>
      <c r="R91" s="711"/>
      <c r="T91" s="814"/>
      <c r="V91" s="814"/>
    </row>
    <row r="92" spans="2:22" ht="12" customHeight="1" x14ac:dyDescent="0.2">
      <c r="C92" s="41" t="s">
        <v>21</v>
      </c>
      <c r="E92" s="471"/>
      <c r="F92" s="42">
        <v>6</v>
      </c>
      <c r="G92" s="42">
        <v>9</v>
      </c>
      <c r="H92" s="42">
        <v>10</v>
      </c>
      <c r="I92" s="42">
        <v>10</v>
      </c>
      <c r="J92" s="42">
        <v>12</v>
      </c>
      <c r="K92" s="452">
        <v>14</v>
      </c>
      <c r="L92" s="452">
        <v>13</v>
      </c>
      <c r="M92" s="700">
        <v>15</v>
      </c>
      <c r="N92" s="32"/>
      <c r="O92" s="33"/>
      <c r="P92" s="33"/>
      <c r="Q92" s="33"/>
      <c r="R92" s="711"/>
      <c r="T92" s="814"/>
      <c r="V92" s="814"/>
    </row>
    <row r="93" spans="2:22" ht="12" customHeight="1" x14ac:dyDescent="0.2">
      <c r="C93" s="41" t="s">
        <v>22</v>
      </c>
      <c r="E93" s="471"/>
      <c r="F93" s="38">
        <v>451</v>
      </c>
      <c r="G93" s="38">
        <v>450</v>
      </c>
      <c r="H93" s="38">
        <f>SUM(H91:H92)</f>
        <v>465</v>
      </c>
      <c r="I93" s="38">
        <v>486</v>
      </c>
      <c r="J93" s="38">
        <v>493</v>
      </c>
      <c r="K93" s="449">
        <v>490</v>
      </c>
      <c r="L93" s="449">
        <f>SUM(L91:L92)</f>
        <v>473</v>
      </c>
      <c r="M93" s="701">
        <f>SUM(M91:M92)</f>
        <v>452</v>
      </c>
      <c r="N93" s="32"/>
      <c r="O93" s="33"/>
      <c r="P93" s="33"/>
      <c r="Q93" s="33"/>
      <c r="R93" s="711"/>
      <c r="T93" s="814"/>
      <c r="V93" s="814"/>
    </row>
    <row r="94" spans="2:22" ht="12" customHeight="1" x14ac:dyDescent="0.2">
      <c r="C94" s="471" t="s">
        <v>23</v>
      </c>
      <c r="E94" s="471"/>
      <c r="F94" s="38"/>
      <c r="G94" s="38"/>
      <c r="H94" s="38"/>
      <c r="I94" s="39"/>
      <c r="J94" s="39"/>
      <c r="K94" s="85"/>
      <c r="L94" s="85"/>
      <c r="M94" s="699"/>
      <c r="N94" s="32"/>
      <c r="O94" s="33"/>
      <c r="P94" s="33"/>
      <c r="Q94" s="33"/>
      <c r="R94" s="711"/>
    </row>
    <row r="95" spans="2:22" ht="12" customHeight="1" x14ac:dyDescent="0.2">
      <c r="C95" s="41" t="s">
        <v>20</v>
      </c>
      <c r="E95" s="471"/>
      <c r="F95" s="38">
        <v>215</v>
      </c>
      <c r="G95" s="38">
        <v>198</v>
      </c>
      <c r="H95" s="38">
        <v>176</v>
      </c>
      <c r="I95" s="38">
        <v>157</v>
      </c>
      <c r="J95" s="38">
        <v>140</v>
      </c>
      <c r="K95" s="449">
        <v>134</v>
      </c>
      <c r="L95" s="449">
        <v>130</v>
      </c>
      <c r="M95" s="701">
        <v>120</v>
      </c>
      <c r="N95" s="32"/>
      <c r="O95" s="33"/>
      <c r="P95" s="33"/>
      <c r="Q95" s="33"/>
      <c r="R95" s="711"/>
      <c r="T95" s="814"/>
      <c r="V95" s="814"/>
    </row>
    <row r="96" spans="2:22" ht="12" customHeight="1" x14ac:dyDescent="0.2">
      <c r="B96" s="65"/>
      <c r="C96" s="41" t="s">
        <v>21</v>
      </c>
      <c r="E96" s="471"/>
      <c r="F96" s="42">
        <v>67</v>
      </c>
      <c r="G96" s="42">
        <v>64</v>
      </c>
      <c r="H96" s="42">
        <v>55</v>
      </c>
      <c r="I96" s="42">
        <v>49</v>
      </c>
      <c r="J96" s="42">
        <v>44</v>
      </c>
      <c r="K96" s="452">
        <v>44</v>
      </c>
      <c r="L96" s="452">
        <v>36</v>
      </c>
      <c r="M96" s="703">
        <v>31</v>
      </c>
      <c r="N96" s="32"/>
      <c r="O96" s="33"/>
      <c r="P96" s="33"/>
      <c r="Q96" s="33"/>
      <c r="R96" s="711"/>
      <c r="T96" s="814"/>
      <c r="V96" s="814"/>
    </row>
    <row r="97" spans="2:22" ht="12" customHeight="1" x14ac:dyDescent="0.2">
      <c r="B97" s="65"/>
      <c r="C97" s="41" t="s">
        <v>22</v>
      </c>
      <c r="E97" s="471"/>
      <c r="F97" s="38">
        <v>282</v>
      </c>
      <c r="G97" s="38">
        <v>262</v>
      </c>
      <c r="H97" s="38">
        <f>SUM(H95:H96)</f>
        <v>231</v>
      </c>
      <c r="I97" s="38">
        <v>206</v>
      </c>
      <c r="J97" s="38">
        <v>184</v>
      </c>
      <c r="K97" s="449">
        <v>178</v>
      </c>
      <c r="L97" s="449">
        <f>SUM(L95:L96)</f>
        <v>166</v>
      </c>
      <c r="M97" s="701">
        <f>SUM(M95:M96)</f>
        <v>151</v>
      </c>
      <c r="N97" s="32"/>
      <c r="O97" s="33"/>
      <c r="P97" s="33"/>
      <c r="Q97" s="33"/>
      <c r="R97" s="711"/>
      <c r="T97" s="814"/>
      <c r="V97" s="814"/>
    </row>
    <row r="98" spans="2:22" ht="12" customHeight="1" x14ac:dyDescent="0.2">
      <c r="B98" s="65"/>
      <c r="C98" s="471" t="s">
        <v>24</v>
      </c>
      <c r="E98" s="471"/>
      <c r="F98" s="38">
        <v>77</v>
      </c>
      <c r="G98" s="38">
        <v>71</v>
      </c>
      <c r="H98" s="38">
        <v>65</v>
      </c>
      <c r="I98" s="38">
        <v>61</v>
      </c>
      <c r="J98" s="38">
        <v>59</v>
      </c>
      <c r="K98" s="449">
        <v>28</v>
      </c>
      <c r="L98" s="449">
        <v>28</v>
      </c>
      <c r="M98" s="699">
        <v>26</v>
      </c>
      <c r="N98" s="32"/>
      <c r="O98" s="33"/>
      <c r="P98" s="33"/>
      <c r="Q98" s="33"/>
      <c r="R98" s="711"/>
      <c r="T98" s="814"/>
      <c r="V98" s="814"/>
    </row>
    <row r="99" spans="2:22" ht="12" customHeight="1" x14ac:dyDescent="0.2">
      <c r="B99" s="65"/>
      <c r="C99" s="471" t="s">
        <v>25</v>
      </c>
      <c r="E99" s="471"/>
      <c r="F99" s="38">
        <v>82</v>
      </c>
      <c r="G99" s="38">
        <v>78</v>
      </c>
      <c r="H99" s="38">
        <v>76</v>
      </c>
      <c r="I99" s="38">
        <v>79</v>
      </c>
      <c r="J99" s="38">
        <v>80</v>
      </c>
      <c r="K99" s="449">
        <v>81</v>
      </c>
      <c r="L99" s="449">
        <v>82</v>
      </c>
      <c r="M99" s="699">
        <v>82</v>
      </c>
      <c r="N99" s="32"/>
      <c r="O99" s="33"/>
      <c r="P99" s="33"/>
      <c r="Q99" s="33"/>
      <c r="R99" s="711"/>
      <c r="T99" s="814"/>
      <c r="V99" s="814"/>
    </row>
    <row r="100" spans="2:22" ht="12" customHeight="1" x14ac:dyDescent="0.2">
      <c r="B100" s="65"/>
      <c r="C100" s="471" t="s">
        <v>26</v>
      </c>
      <c r="E100" s="471"/>
      <c r="F100" s="38">
        <v>43</v>
      </c>
      <c r="G100" s="38">
        <v>62</v>
      </c>
      <c r="H100" s="38">
        <v>50</v>
      </c>
      <c r="I100" s="38">
        <v>52</v>
      </c>
      <c r="J100" s="38">
        <v>54</v>
      </c>
      <c r="K100" s="449">
        <v>47</v>
      </c>
      <c r="L100" s="449">
        <v>39</v>
      </c>
      <c r="M100" s="699">
        <v>37</v>
      </c>
      <c r="N100" s="32"/>
      <c r="O100" s="33"/>
      <c r="P100" s="33"/>
      <c r="Q100" s="33"/>
      <c r="R100" s="711"/>
      <c r="T100" s="814"/>
      <c r="V100" s="814"/>
    </row>
    <row r="101" spans="2:22" ht="12" customHeight="1" x14ac:dyDescent="0.2">
      <c r="B101" s="65"/>
      <c r="C101" s="21" t="s">
        <v>37</v>
      </c>
      <c r="D101" s="21"/>
      <c r="E101" s="21"/>
      <c r="F101" s="47">
        <v>935</v>
      </c>
      <c r="G101" s="47">
        <v>923</v>
      </c>
      <c r="H101" s="47">
        <f>SUM(H97:H100)+H93</f>
        <v>887</v>
      </c>
      <c r="I101" s="47">
        <v>884</v>
      </c>
      <c r="J101" s="47">
        <v>870</v>
      </c>
      <c r="K101" s="454">
        <v>824</v>
      </c>
      <c r="L101" s="454">
        <f>SUM(L97:L100)+L93</f>
        <v>788</v>
      </c>
      <c r="M101" s="704">
        <f>SUM(M97:M100)+M93</f>
        <v>748</v>
      </c>
      <c r="N101" s="49"/>
      <c r="O101" s="37">
        <v>-10.6</v>
      </c>
      <c r="P101" s="37">
        <v>-16.100000000000001</v>
      </c>
      <c r="Q101" s="37">
        <v>-14.1</v>
      </c>
      <c r="R101" s="712">
        <v>-12.6</v>
      </c>
      <c r="T101" s="814"/>
      <c r="V101" s="814"/>
    </row>
    <row r="102" spans="2:22" ht="6" customHeight="1" x14ac:dyDescent="0.2">
      <c r="B102" s="65"/>
      <c r="E102" s="471"/>
      <c r="F102" s="38"/>
      <c r="G102" s="38"/>
      <c r="H102" s="38"/>
      <c r="I102" s="38"/>
      <c r="J102" s="38"/>
      <c r="K102" s="449"/>
      <c r="L102" s="449"/>
      <c r="M102" s="701"/>
      <c r="N102" s="32"/>
      <c r="O102" s="33"/>
      <c r="P102" s="33"/>
      <c r="Q102" s="33"/>
      <c r="R102" s="711"/>
    </row>
    <row r="103" spans="2:22" ht="12" customHeight="1" x14ac:dyDescent="0.2">
      <c r="B103" s="65"/>
      <c r="C103" s="471" t="s">
        <v>27</v>
      </c>
      <c r="E103" s="471"/>
      <c r="F103" s="44">
        <v>167</v>
      </c>
      <c r="G103" s="44">
        <v>174</v>
      </c>
      <c r="H103" s="44">
        <v>182</v>
      </c>
      <c r="I103" s="44">
        <v>190</v>
      </c>
      <c r="J103" s="44">
        <v>194</v>
      </c>
      <c r="K103" s="450">
        <v>209</v>
      </c>
      <c r="L103" s="450">
        <v>208</v>
      </c>
      <c r="M103" s="705">
        <v>215</v>
      </c>
      <c r="N103" s="32"/>
      <c r="O103" s="33"/>
      <c r="P103" s="33"/>
      <c r="Q103" s="33"/>
      <c r="R103" s="711"/>
    </row>
    <row r="104" spans="2:22" ht="12" customHeight="1" x14ac:dyDescent="0.2">
      <c r="B104" s="65"/>
      <c r="C104" s="52"/>
      <c r="E104" s="471"/>
      <c r="F104" s="39"/>
      <c r="G104" s="39"/>
      <c r="H104" s="39"/>
      <c r="I104" s="39"/>
      <c r="J104" s="39"/>
      <c r="K104" s="85"/>
      <c r="L104" s="85"/>
      <c r="M104" s="699"/>
      <c r="N104" s="32"/>
      <c r="O104" s="33"/>
      <c r="P104" s="33"/>
      <c r="Q104" s="33"/>
      <c r="R104" s="711"/>
    </row>
    <row r="105" spans="2:22" ht="13.5" customHeight="1" x14ac:dyDescent="0.2">
      <c r="B105" s="65"/>
      <c r="C105" s="471" t="s">
        <v>416</v>
      </c>
      <c r="E105" s="471"/>
      <c r="F105" s="50">
        <v>0</v>
      </c>
      <c r="G105" s="38">
        <v>307</v>
      </c>
      <c r="H105" s="85">
        <v>478</v>
      </c>
      <c r="I105" s="39">
        <v>488</v>
      </c>
      <c r="J105" s="39">
        <v>0</v>
      </c>
      <c r="K105" s="85">
        <v>0</v>
      </c>
      <c r="L105" s="85">
        <v>0</v>
      </c>
      <c r="M105" s="699">
        <v>0</v>
      </c>
      <c r="N105" s="32"/>
      <c r="O105" s="33">
        <v>0</v>
      </c>
      <c r="P105" s="33">
        <v>0</v>
      </c>
      <c r="Q105" s="33">
        <v>0</v>
      </c>
      <c r="R105" s="711"/>
      <c r="T105" s="814"/>
      <c r="V105" s="814"/>
    </row>
    <row r="106" spans="2:22" ht="13.5" customHeight="1" x14ac:dyDescent="0.2">
      <c r="B106" s="65"/>
      <c r="C106" s="52" t="s">
        <v>417</v>
      </c>
      <c r="D106" s="52"/>
      <c r="E106" s="471"/>
      <c r="F106" s="39">
        <v>380</v>
      </c>
      <c r="G106" s="39">
        <v>376</v>
      </c>
      <c r="H106" s="85">
        <v>372</v>
      </c>
      <c r="I106" s="39">
        <v>384</v>
      </c>
      <c r="J106" s="39">
        <v>382</v>
      </c>
      <c r="K106" s="85">
        <v>380</v>
      </c>
      <c r="L106" s="85">
        <v>360</v>
      </c>
      <c r="M106" s="699">
        <v>347</v>
      </c>
      <c r="N106" s="32"/>
      <c r="O106" s="33">
        <v>-3.7</v>
      </c>
      <c r="P106" s="33">
        <v>-5.7</v>
      </c>
      <c r="Q106" s="33">
        <v>-6.6</v>
      </c>
      <c r="R106" s="711">
        <v>-6.4</v>
      </c>
      <c r="T106" s="814"/>
      <c r="V106" s="814"/>
    </row>
    <row r="107" spans="2:22" ht="13.5" customHeight="1" x14ac:dyDescent="0.2">
      <c r="B107" s="65"/>
      <c r="C107" s="52" t="s">
        <v>418</v>
      </c>
      <c r="D107" s="52"/>
      <c r="E107" s="471"/>
      <c r="F107" s="39">
        <v>198</v>
      </c>
      <c r="G107" s="39">
        <v>192</v>
      </c>
      <c r="H107" s="85">
        <v>198</v>
      </c>
      <c r="I107" s="39">
        <v>208</v>
      </c>
      <c r="J107" s="39">
        <v>206</v>
      </c>
      <c r="K107" s="85">
        <v>202</v>
      </c>
      <c r="L107" s="85">
        <v>198</v>
      </c>
      <c r="M107" s="699">
        <v>205</v>
      </c>
      <c r="N107" s="32"/>
      <c r="O107" s="33">
        <v>-2.5</v>
      </c>
      <c r="P107" s="33">
        <v>-4.5</v>
      </c>
      <c r="Q107" s="33">
        <v>-6.5</v>
      </c>
      <c r="R107" s="711">
        <v>-0.9</v>
      </c>
      <c r="T107" s="814"/>
      <c r="V107" s="814"/>
    </row>
    <row r="108" spans="2:22" ht="13.5" customHeight="1" x14ac:dyDescent="0.2">
      <c r="B108" s="65"/>
      <c r="C108" s="52" t="s">
        <v>419</v>
      </c>
      <c r="D108" s="52"/>
      <c r="E108" s="471"/>
      <c r="F108" s="39">
        <v>215</v>
      </c>
      <c r="G108" s="39">
        <v>215</v>
      </c>
      <c r="H108" s="85">
        <v>201</v>
      </c>
      <c r="I108" s="39">
        <v>208</v>
      </c>
      <c r="J108" s="39">
        <v>200</v>
      </c>
      <c r="K108" s="85">
        <v>209</v>
      </c>
      <c r="L108" s="85">
        <v>198</v>
      </c>
      <c r="M108" s="699">
        <v>184</v>
      </c>
      <c r="N108" s="32"/>
      <c r="O108" s="33">
        <v>-10.8</v>
      </c>
      <c r="P108" s="33">
        <v>-8.9</v>
      </c>
      <c r="Q108" s="33">
        <v>-5.2</v>
      </c>
      <c r="R108" s="711">
        <v>-8.5</v>
      </c>
      <c r="T108" s="814"/>
      <c r="V108" s="814"/>
    </row>
    <row r="109" spans="2:22" ht="13.5" customHeight="1" x14ac:dyDescent="0.2">
      <c r="B109" s="65"/>
      <c r="C109" s="52" t="s">
        <v>420</v>
      </c>
      <c r="D109" s="52"/>
      <c r="E109" s="471"/>
      <c r="F109" s="39">
        <v>149</v>
      </c>
      <c r="G109" s="39">
        <v>146</v>
      </c>
      <c r="H109" s="85">
        <v>143</v>
      </c>
      <c r="I109" s="39">
        <v>143</v>
      </c>
      <c r="J109" s="39">
        <v>150</v>
      </c>
      <c r="K109" s="85">
        <v>151</v>
      </c>
      <c r="L109" s="85">
        <v>149</v>
      </c>
      <c r="M109" s="699">
        <v>143</v>
      </c>
      <c r="N109" s="32"/>
      <c r="O109" s="33">
        <v>-4.0999999999999996</v>
      </c>
      <c r="P109" s="33">
        <v>-3</v>
      </c>
      <c r="Q109" s="33">
        <v>0.4</v>
      </c>
      <c r="R109" s="711">
        <v>3.8</v>
      </c>
      <c r="T109" s="814"/>
      <c r="V109" s="814"/>
    </row>
    <row r="110" spans="2:22" ht="13.5" customHeight="1" x14ac:dyDescent="0.2">
      <c r="B110" s="65"/>
      <c r="C110" s="52" t="s">
        <v>421</v>
      </c>
      <c r="D110" s="52"/>
      <c r="E110" s="471"/>
      <c r="F110" s="39">
        <v>161</v>
      </c>
      <c r="G110" s="39">
        <v>167</v>
      </c>
      <c r="H110" s="85">
        <v>145</v>
      </c>
      <c r="I110" s="39">
        <v>135</v>
      </c>
      <c r="J110" s="39">
        <v>138</v>
      </c>
      <c r="K110" s="85">
        <v>145</v>
      </c>
      <c r="L110" s="85">
        <v>130</v>
      </c>
      <c r="M110" s="699">
        <v>124</v>
      </c>
      <c r="N110" s="32"/>
      <c r="O110" s="33">
        <v>-17.5</v>
      </c>
      <c r="P110" s="33">
        <v>-18.100000000000001</v>
      </c>
      <c r="Q110" s="33">
        <v>-13.4</v>
      </c>
      <c r="R110" s="711">
        <v>-5.3</v>
      </c>
      <c r="T110" s="814"/>
      <c r="V110" s="814"/>
    </row>
    <row r="111" spans="2:22" ht="12" customHeight="1" x14ac:dyDescent="0.2">
      <c r="B111" s="65"/>
      <c r="C111" s="53" t="s">
        <v>297</v>
      </c>
      <c r="D111" s="52"/>
      <c r="E111" s="471"/>
      <c r="F111" s="50">
        <v>1358</v>
      </c>
      <c r="G111" s="50">
        <v>1664</v>
      </c>
      <c r="H111" s="50">
        <v>1792</v>
      </c>
      <c r="I111" s="50">
        <v>1798</v>
      </c>
      <c r="J111" s="50">
        <v>1313</v>
      </c>
      <c r="K111" s="86">
        <v>1322</v>
      </c>
      <c r="L111" s="86">
        <v>1259</v>
      </c>
      <c r="M111" s="707">
        <v>1210</v>
      </c>
      <c r="N111" s="32"/>
      <c r="O111" s="33">
        <v>-7.4</v>
      </c>
      <c r="P111" s="33">
        <v>-8.9</v>
      </c>
      <c r="Q111" s="33">
        <v>-7.1</v>
      </c>
      <c r="R111" s="711">
        <v>-4.5</v>
      </c>
      <c r="T111" s="814"/>
      <c r="V111" s="814"/>
    </row>
    <row r="112" spans="2:22" ht="4.5" customHeight="1" x14ac:dyDescent="0.2">
      <c r="C112" s="53"/>
      <c r="D112" s="52"/>
      <c r="E112" s="471"/>
      <c r="F112" s="39"/>
      <c r="G112" s="39"/>
      <c r="H112" s="39"/>
      <c r="I112" s="39"/>
      <c r="J112" s="39"/>
      <c r="K112" s="85"/>
      <c r="L112" s="85"/>
      <c r="M112" s="699"/>
      <c r="N112" s="32"/>
      <c r="O112" s="37"/>
      <c r="P112" s="37"/>
      <c r="Q112" s="37"/>
      <c r="R112" s="712"/>
      <c r="T112" s="814"/>
      <c r="V112" s="814"/>
    </row>
    <row r="113" spans="2:22" ht="12" customHeight="1" x14ac:dyDescent="0.2">
      <c r="C113" s="471" t="s">
        <v>34</v>
      </c>
      <c r="E113" s="471"/>
      <c r="F113" s="39">
        <v>-37</v>
      </c>
      <c r="G113" s="39">
        <v>-54</v>
      </c>
      <c r="H113" s="39">
        <f>+H114-H111-H101-H85-H69-H53</f>
        <v>-44</v>
      </c>
      <c r="I113" s="39">
        <v>-41</v>
      </c>
      <c r="J113" s="39">
        <v>-16</v>
      </c>
      <c r="K113" s="85">
        <v>-19</v>
      </c>
      <c r="L113" s="85">
        <f>+L114-L111-L101-L85-L69-L53</f>
        <v>-9</v>
      </c>
      <c r="M113" s="699">
        <f>+M114-M111-M101-M85-M69-M53</f>
        <v>-10</v>
      </c>
      <c r="N113" s="32"/>
      <c r="O113" s="33"/>
      <c r="P113" s="33"/>
      <c r="Q113" s="33"/>
      <c r="R113" s="711"/>
      <c r="T113" s="814"/>
      <c r="V113" s="814"/>
    </row>
    <row r="114" spans="2:22" s="45" customFormat="1" ht="12" customHeight="1" thickBot="1" x14ac:dyDescent="0.25">
      <c r="C114" s="21" t="s">
        <v>28</v>
      </c>
      <c r="D114" s="21"/>
      <c r="E114" s="21"/>
      <c r="F114" s="46">
        <v>6465</v>
      </c>
      <c r="G114" s="46">
        <v>6633</v>
      </c>
      <c r="H114" s="46">
        <v>6701</v>
      </c>
      <c r="I114" s="46">
        <v>6703</v>
      </c>
      <c r="J114" s="46">
        <v>6521</v>
      </c>
      <c r="K114" s="451">
        <v>6465</v>
      </c>
      <c r="L114" s="451">
        <v>6523</v>
      </c>
      <c r="M114" s="702">
        <v>6468</v>
      </c>
      <c r="N114" s="49"/>
      <c r="O114" s="37">
        <f t="shared" ref="O114:Q114" si="0">+O37</f>
        <v>-8.6999999999999993</v>
      </c>
      <c r="P114" s="37">
        <f t="shared" si="0"/>
        <v>-9.6</v>
      </c>
      <c r="Q114" s="37">
        <f t="shared" si="0"/>
        <v>-9.6</v>
      </c>
      <c r="R114" s="712">
        <f t="shared" ref="R114" si="1">+R37</f>
        <v>-8.5</v>
      </c>
      <c r="T114" s="814"/>
      <c r="U114" s="65"/>
      <c r="V114" s="814"/>
    </row>
    <row r="115" spans="2:22" ht="12" customHeight="1" thickTop="1" x14ac:dyDescent="0.2">
      <c r="E115" s="471"/>
      <c r="F115" s="39"/>
      <c r="G115" s="39"/>
      <c r="H115" s="39"/>
      <c r="I115" s="39"/>
      <c r="J115" s="39"/>
      <c r="K115" s="85"/>
      <c r="L115" s="85"/>
      <c r="M115" s="699"/>
      <c r="N115" s="32"/>
      <c r="O115" s="33"/>
      <c r="P115" s="33"/>
      <c r="Q115" s="33"/>
      <c r="R115" s="711"/>
    </row>
    <row r="116" spans="2:22" s="45" customFormat="1" ht="13.5" customHeight="1" x14ac:dyDescent="0.2">
      <c r="B116" s="691" t="s">
        <v>16</v>
      </c>
      <c r="C116" s="691"/>
      <c r="D116" s="691"/>
      <c r="E116" s="691"/>
      <c r="F116" s="691"/>
      <c r="G116" s="50"/>
      <c r="H116" s="50"/>
      <c r="I116" s="50"/>
      <c r="J116" s="50"/>
      <c r="K116" s="86"/>
      <c r="L116" s="86"/>
      <c r="M116" s="707"/>
      <c r="N116" s="49"/>
      <c r="O116" s="37"/>
      <c r="P116" s="37"/>
      <c r="Q116" s="37"/>
      <c r="R116" s="712"/>
    </row>
    <row r="117" spans="2:22" ht="12" customHeight="1" x14ac:dyDescent="0.2">
      <c r="C117" s="471" t="s">
        <v>19</v>
      </c>
      <c r="E117" s="471"/>
      <c r="F117" s="39"/>
      <c r="G117" s="39"/>
      <c r="H117" s="39"/>
      <c r="I117" s="39"/>
      <c r="J117" s="39"/>
      <c r="K117" s="85"/>
      <c r="L117" s="85"/>
      <c r="M117" s="699"/>
      <c r="N117" s="32"/>
      <c r="O117" s="33"/>
      <c r="P117" s="33"/>
      <c r="Q117" s="33"/>
      <c r="R117" s="711"/>
    </row>
    <row r="118" spans="2:22" ht="12" customHeight="1" x14ac:dyDescent="0.2">
      <c r="C118" s="41" t="s">
        <v>20</v>
      </c>
      <c r="E118" s="471"/>
      <c r="F118" s="38">
        <v>676</v>
      </c>
      <c r="G118" s="38">
        <v>689</v>
      </c>
      <c r="H118" s="38">
        <v>682</v>
      </c>
      <c r="I118" s="38">
        <v>720</v>
      </c>
      <c r="J118" s="38">
        <v>706</v>
      </c>
      <c r="K118" s="449">
        <v>681</v>
      </c>
      <c r="L118" s="449">
        <v>668</v>
      </c>
      <c r="M118" s="699">
        <v>645</v>
      </c>
      <c r="N118" s="32"/>
      <c r="O118" s="33"/>
      <c r="P118" s="33"/>
      <c r="Q118" s="33"/>
      <c r="R118" s="711"/>
      <c r="T118" s="814"/>
      <c r="V118" s="814"/>
    </row>
    <row r="119" spans="2:22" ht="12" customHeight="1" x14ac:dyDescent="0.2">
      <c r="C119" s="41" t="s">
        <v>21</v>
      </c>
      <c r="E119" s="471"/>
      <c r="F119" s="42">
        <v>173</v>
      </c>
      <c r="G119" s="42">
        <v>187</v>
      </c>
      <c r="H119" s="42">
        <v>201</v>
      </c>
      <c r="I119" s="42">
        <v>205</v>
      </c>
      <c r="J119" s="42">
        <v>220</v>
      </c>
      <c r="K119" s="452">
        <v>222</v>
      </c>
      <c r="L119" s="452">
        <v>242</v>
      </c>
      <c r="M119" s="700">
        <v>302</v>
      </c>
      <c r="N119" s="32"/>
      <c r="O119" s="33"/>
      <c r="P119" s="33"/>
      <c r="Q119" s="33"/>
      <c r="R119" s="711"/>
      <c r="T119" s="814"/>
      <c r="V119" s="814"/>
    </row>
    <row r="120" spans="2:22" ht="12" customHeight="1" x14ac:dyDescent="0.2">
      <c r="C120" s="41" t="s">
        <v>22</v>
      </c>
      <c r="E120" s="471"/>
      <c r="F120" s="38">
        <v>849</v>
      </c>
      <c r="G120" s="38">
        <v>876</v>
      </c>
      <c r="H120" s="38">
        <f>SUM(H118:H119)</f>
        <v>883</v>
      </c>
      <c r="I120" s="38">
        <v>925</v>
      </c>
      <c r="J120" s="38">
        <v>926</v>
      </c>
      <c r="K120" s="449">
        <v>903</v>
      </c>
      <c r="L120" s="449">
        <f>SUM(L118:L119)</f>
        <v>910</v>
      </c>
      <c r="M120" s="701">
        <f>SUM(M118:M119)</f>
        <v>947</v>
      </c>
      <c r="N120" s="32"/>
      <c r="O120" s="33"/>
      <c r="P120" s="33"/>
      <c r="Q120" s="33"/>
      <c r="R120" s="711"/>
      <c r="T120" s="814"/>
      <c r="V120" s="814"/>
    </row>
    <row r="121" spans="2:22" ht="12" customHeight="1" x14ac:dyDescent="0.2">
      <c r="C121" s="471" t="s">
        <v>23</v>
      </c>
      <c r="E121" s="471"/>
      <c r="F121" s="38"/>
      <c r="G121" s="38"/>
      <c r="H121" s="38"/>
      <c r="I121" s="39"/>
      <c r="J121" s="39"/>
      <c r="K121" s="85"/>
      <c r="L121" s="85"/>
      <c r="M121" s="699"/>
      <c r="N121" s="32"/>
      <c r="O121" s="33"/>
      <c r="P121" s="33"/>
      <c r="Q121" s="33"/>
      <c r="R121" s="711"/>
    </row>
    <row r="122" spans="2:22" ht="12" customHeight="1" x14ac:dyDescent="0.2">
      <c r="C122" s="41" t="s">
        <v>20</v>
      </c>
      <c r="E122" s="471"/>
      <c r="F122" s="38">
        <v>449</v>
      </c>
      <c r="G122" s="38">
        <v>454</v>
      </c>
      <c r="H122" s="38">
        <v>436</v>
      </c>
      <c r="I122" s="38">
        <v>431</v>
      </c>
      <c r="J122" s="38">
        <v>434</v>
      </c>
      <c r="K122" s="449">
        <v>410</v>
      </c>
      <c r="L122" s="449">
        <v>373</v>
      </c>
      <c r="M122" s="701">
        <v>338</v>
      </c>
      <c r="N122" s="32"/>
      <c r="O122" s="33"/>
      <c r="P122" s="33"/>
      <c r="Q122" s="33"/>
      <c r="R122" s="711"/>
      <c r="T122" s="814"/>
      <c r="V122" s="814"/>
    </row>
    <row r="123" spans="2:22" ht="12" customHeight="1" x14ac:dyDescent="0.2">
      <c r="C123" s="41" t="s">
        <v>21</v>
      </c>
      <c r="E123" s="471"/>
      <c r="F123" s="42">
        <v>1345</v>
      </c>
      <c r="G123" s="42">
        <v>1334</v>
      </c>
      <c r="H123" s="42">
        <v>1323</v>
      </c>
      <c r="I123" s="42">
        <v>1332</v>
      </c>
      <c r="J123" s="42">
        <v>1364</v>
      </c>
      <c r="K123" s="452">
        <v>1273</v>
      </c>
      <c r="L123" s="452">
        <v>1227</v>
      </c>
      <c r="M123" s="703">
        <v>1071</v>
      </c>
      <c r="N123" s="32"/>
      <c r="O123" s="33"/>
      <c r="P123" s="33"/>
      <c r="Q123" s="33"/>
      <c r="R123" s="711"/>
      <c r="T123" s="814"/>
      <c r="V123" s="814"/>
    </row>
    <row r="124" spans="2:22" ht="12" customHeight="1" x14ac:dyDescent="0.2">
      <c r="C124" s="41" t="s">
        <v>22</v>
      </c>
      <c r="E124" s="471"/>
      <c r="F124" s="38">
        <v>1794</v>
      </c>
      <c r="G124" s="38">
        <v>1788</v>
      </c>
      <c r="H124" s="38">
        <f>SUM(H122:H123)</f>
        <v>1759</v>
      </c>
      <c r="I124" s="38">
        <v>1763</v>
      </c>
      <c r="J124" s="38">
        <v>1798</v>
      </c>
      <c r="K124" s="449">
        <v>1683</v>
      </c>
      <c r="L124" s="449">
        <f>SUM(L122:L123)</f>
        <v>1600</v>
      </c>
      <c r="M124" s="701">
        <f>SUM(M122:M123)</f>
        <v>1409</v>
      </c>
      <c r="N124" s="32"/>
      <c r="O124" s="33"/>
      <c r="P124" s="33"/>
      <c r="Q124" s="33"/>
      <c r="R124" s="711"/>
      <c r="T124" s="814"/>
      <c r="V124" s="814"/>
    </row>
    <row r="125" spans="2:22" ht="12" customHeight="1" x14ac:dyDescent="0.2">
      <c r="C125" s="471" t="s">
        <v>24</v>
      </c>
      <c r="E125" s="471"/>
      <c r="F125" s="38">
        <v>469</v>
      </c>
      <c r="G125" s="38">
        <v>498</v>
      </c>
      <c r="H125" s="38">
        <v>505</v>
      </c>
      <c r="I125" s="38">
        <v>493</v>
      </c>
      <c r="J125" s="38">
        <v>492</v>
      </c>
      <c r="K125" s="449">
        <v>426</v>
      </c>
      <c r="L125" s="449">
        <v>415</v>
      </c>
      <c r="M125" s="699">
        <v>392</v>
      </c>
      <c r="N125" s="32"/>
      <c r="O125" s="33"/>
      <c r="P125" s="33"/>
      <c r="Q125" s="33"/>
      <c r="R125" s="711"/>
      <c r="T125" s="814"/>
      <c r="V125" s="814"/>
    </row>
    <row r="126" spans="2:22" ht="12" customHeight="1" x14ac:dyDescent="0.2">
      <c r="C126" s="471" t="s">
        <v>25</v>
      </c>
      <c r="E126" s="471"/>
      <c r="F126" s="38">
        <v>132</v>
      </c>
      <c r="G126" s="38">
        <v>120</v>
      </c>
      <c r="H126" s="38">
        <v>139</v>
      </c>
      <c r="I126" s="38">
        <v>172</v>
      </c>
      <c r="J126" s="38">
        <v>171</v>
      </c>
      <c r="K126" s="449">
        <v>166</v>
      </c>
      <c r="L126" s="449">
        <f>179-15</f>
        <v>164</v>
      </c>
      <c r="M126" s="699">
        <v>158</v>
      </c>
      <c r="N126" s="32"/>
      <c r="O126" s="33"/>
      <c r="P126" s="33"/>
      <c r="Q126" s="33"/>
      <c r="R126" s="711"/>
      <c r="T126" s="814"/>
      <c r="V126" s="814"/>
    </row>
    <row r="127" spans="2:22" ht="12" customHeight="1" x14ac:dyDescent="0.2">
      <c r="C127" s="471" t="s">
        <v>26</v>
      </c>
      <c r="E127" s="471"/>
      <c r="F127" s="38">
        <v>142</v>
      </c>
      <c r="G127" s="38">
        <v>137</v>
      </c>
      <c r="H127" s="38">
        <v>145</v>
      </c>
      <c r="I127" s="38">
        <v>141</v>
      </c>
      <c r="J127" s="38">
        <v>140</v>
      </c>
      <c r="K127" s="449">
        <v>125</v>
      </c>
      <c r="L127" s="449">
        <f>117+15</f>
        <v>132</v>
      </c>
      <c r="M127" s="699">
        <v>130</v>
      </c>
      <c r="N127" s="32"/>
      <c r="O127" s="33"/>
      <c r="P127" s="33"/>
      <c r="Q127" s="33"/>
      <c r="R127" s="711"/>
      <c r="T127" s="814"/>
      <c r="V127" s="814"/>
    </row>
    <row r="128" spans="2:22" s="45" customFormat="1" ht="12" customHeight="1" x14ac:dyDescent="0.2">
      <c r="B128" s="21"/>
      <c r="C128" s="21" t="s">
        <v>28</v>
      </c>
      <c r="D128" s="21"/>
      <c r="E128" s="21"/>
      <c r="F128" s="47">
        <v>3386</v>
      </c>
      <c r="G128" s="47">
        <v>3419</v>
      </c>
      <c r="H128" s="47">
        <f>SUM(H124:H127)+H120</f>
        <v>3431</v>
      </c>
      <c r="I128" s="47">
        <v>3494</v>
      </c>
      <c r="J128" s="47">
        <v>3527</v>
      </c>
      <c r="K128" s="454">
        <v>3303</v>
      </c>
      <c r="L128" s="454">
        <f>SUM(L124:L127)+L120</f>
        <v>3221</v>
      </c>
      <c r="M128" s="704">
        <f>SUM(M124:M127)+M120</f>
        <v>3036</v>
      </c>
      <c r="N128" s="32"/>
      <c r="O128" s="37">
        <v>7.2</v>
      </c>
      <c r="P128" s="37">
        <v>5.6</v>
      </c>
      <c r="Q128" s="37">
        <v>5.5</v>
      </c>
      <c r="R128" s="712">
        <v>6</v>
      </c>
      <c r="T128" s="814"/>
      <c r="U128" s="65"/>
      <c r="V128" s="814"/>
    </row>
    <row r="129" spans="2:22" ht="4.5" customHeight="1" x14ac:dyDescent="0.2">
      <c r="C129" s="53"/>
      <c r="D129" s="52"/>
      <c r="E129" s="471"/>
      <c r="F129" s="39"/>
      <c r="G129" s="39"/>
      <c r="H129" s="39"/>
      <c r="I129" s="39"/>
      <c r="J129" s="39"/>
      <c r="K129" s="85"/>
      <c r="L129" s="85"/>
      <c r="M129" s="699"/>
      <c r="N129" s="32"/>
      <c r="O129" s="37"/>
      <c r="P129" s="37"/>
      <c r="Q129" s="37"/>
      <c r="R129" s="712"/>
    </row>
    <row r="130" spans="2:22" ht="12" customHeight="1" x14ac:dyDescent="0.2">
      <c r="C130" s="471" t="s">
        <v>27</v>
      </c>
      <c r="E130" s="471"/>
      <c r="F130" s="44">
        <v>423</v>
      </c>
      <c r="G130" s="44">
        <v>438</v>
      </c>
      <c r="H130" s="44">
        <v>451</v>
      </c>
      <c r="I130" s="44">
        <v>497</v>
      </c>
      <c r="J130" s="44">
        <v>517</v>
      </c>
      <c r="K130" s="450">
        <v>541</v>
      </c>
      <c r="L130" s="450">
        <v>537</v>
      </c>
      <c r="M130" s="705">
        <v>526</v>
      </c>
      <c r="N130" s="32"/>
      <c r="O130" s="33"/>
      <c r="P130" s="33"/>
      <c r="Q130" s="33"/>
      <c r="R130" s="711"/>
      <c r="T130" s="814"/>
      <c r="V130" s="814"/>
    </row>
    <row r="131" spans="2:22" ht="12" customHeight="1" x14ac:dyDescent="0.2">
      <c r="E131" s="471"/>
      <c r="F131" s="39"/>
      <c r="G131" s="39"/>
      <c r="H131" s="39"/>
      <c r="I131" s="39"/>
      <c r="J131" s="39"/>
      <c r="K131" s="85"/>
      <c r="L131" s="85"/>
      <c r="M131" s="699"/>
      <c r="N131" s="32"/>
      <c r="O131" s="33"/>
      <c r="P131" s="33"/>
      <c r="Q131" s="33"/>
      <c r="R131" s="711"/>
    </row>
    <row r="132" spans="2:22" ht="13.5" customHeight="1" x14ac:dyDescent="0.2">
      <c r="C132" s="34" t="s">
        <v>132</v>
      </c>
      <c r="E132" s="471"/>
      <c r="F132" s="39"/>
      <c r="G132" s="39"/>
      <c r="H132" s="39"/>
      <c r="I132" s="39"/>
      <c r="J132" s="39"/>
      <c r="K132" s="85"/>
      <c r="L132" s="85"/>
      <c r="M132" s="699"/>
      <c r="N132" s="32"/>
      <c r="O132" s="33"/>
      <c r="P132" s="33"/>
      <c r="Q132" s="33"/>
      <c r="R132" s="711"/>
    </row>
    <row r="133" spans="2:22" ht="12" customHeight="1" x14ac:dyDescent="0.2">
      <c r="B133" s="21"/>
      <c r="C133" s="471" t="s">
        <v>19</v>
      </c>
      <c r="E133" s="471"/>
      <c r="F133" s="39"/>
      <c r="G133" s="39"/>
      <c r="H133" s="39"/>
      <c r="I133" s="39"/>
      <c r="J133" s="39"/>
      <c r="K133" s="85"/>
      <c r="L133" s="85"/>
      <c r="M133" s="699"/>
      <c r="N133" s="32"/>
      <c r="O133" s="33"/>
      <c r="P133" s="33"/>
      <c r="Q133" s="33"/>
      <c r="R133" s="711"/>
    </row>
    <row r="134" spans="2:22" ht="12" customHeight="1" x14ac:dyDescent="0.2">
      <c r="B134" s="21"/>
      <c r="C134" s="41" t="s">
        <v>20</v>
      </c>
      <c r="E134" s="471"/>
      <c r="F134" s="38">
        <v>65</v>
      </c>
      <c r="G134" s="38">
        <v>66</v>
      </c>
      <c r="H134" s="38">
        <v>69</v>
      </c>
      <c r="I134" s="38">
        <v>75</v>
      </c>
      <c r="J134" s="38">
        <v>85</v>
      </c>
      <c r="K134" s="449">
        <v>80</v>
      </c>
      <c r="L134" s="449">
        <v>86</v>
      </c>
      <c r="M134" s="699">
        <v>90</v>
      </c>
      <c r="N134" s="32"/>
      <c r="O134" s="33"/>
      <c r="P134" s="33"/>
      <c r="Q134" s="33"/>
      <c r="R134" s="711"/>
      <c r="T134" s="814"/>
      <c r="V134" s="814"/>
    </row>
    <row r="135" spans="2:22" ht="12" customHeight="1" x14ac:dyDescent="0.2">
      <c r="B135" s="21"/>
      <c r="C135" s="41" t="s">
        <v>21</v>
      </c>
      <c r="E135" s="471"/>
      <c r="F135" s="42">
        <v>55</v>
      </c>
      <c r="G135" s="42">
        <v>60</v>
      </c>
      <c r="H135" s="42">
        <v>69</v>
      </c>
      <c r="I135" s="42">
        <v>76</v>
      </c>
      <c r="J135" s="42">
        <v>69</v>
      </c>
      <c r="K135" s="452">
        <v>63</v>
      </c>
      <c r="L135" s="452">
        <v>67</v>
      </c>
      <c r="M135" s="700">
        <v>72</v>
      </c>
      <c r="N135" s="32"/>
      <c r="O135" s="33"/>
      <c r="P135" s="33"/>
      <c r="Q135" s="33"/>
      <c r="R135" s="711"/>
      <c r="T135" s="814"/>
      <c r="V135" s="814"/>
    </row>
    <row r="136" spans="2:22" ht="12" customHeight="1" x14ac:dyDescent="0.2">
      <c r="B136" s="21"/>
      <c r="C136" s="41" t="s">
        <v>22</v>
      </c>
      <c r="E136" s="471"/>
      <c r="F136" s="38">
        <v>120</v>
      </c>
      <c r="G136" s="38">
        <v>126</v>
      </c>
      <c r="H136" s="38">
        <f>SUM(H134:H135)</f>
        <v>138</v>
      </c>
      <c r="I136" s="38">
        <v>151</v>
      </c>
      <c r="J136" s="38">
        <v>154</v>
      </c>
      <c r="K136" s="449">
        <v>143</v>
      </c>
      <c r="L136" s="449">
        <f>SUM(L134:L135)</f>
        <v>153</v>
      </c>
      <c r="M136" s="701">
        <f>SUM(M134:M135)</f>
        <v>162</v>
      </c>
      <c r="N136" s="32"/>
      <c r="O136" s="33"/>
      <c r="P136" s="33"/>
      <c r="Q136" s="33"/>
      <c r="R136" s="711"/>
      <c r="T136" s="814"/>
      <c r="V136" s="814"/>
    </row>
    <row r="137" spans="2:22" ht="12" customHeight="1" x14ac:dyDescent="0.2">
      <c r="B137" s="21"/>
      <c r="C137" s="471" t="s">
        <v>23</v>
      </c>
      <c r="E137" s="471"/>
      <c r="F137" s="38"/>
      <c r="G137" s="38"/>
      <c r="H137" s="38"/>
      <c r="I137" s="39"/>
      <c r="J137" s="39"/>
      <c r="K137" s="85"/>
      <c r="L137" s="85"/>
      <c r="M137" s="699"/>
      <c r="N137" s="32"/>
      <c r="O137" s="33"/>
      <c r="P137" s="33"/>
      <c r="Q137" s="33"/>
      <c r="R137" s="711"/>
    </row>
    <row r="138" spans="2:22" ht="12" customHeight="1" x14ac:dyDescent="0.2">
      <c r="B138" s="21"/>
      <c r="C138" s="41" t="s">
        <v>20</v>
      </c>
      <c r="E138" s="471"/>
      <c r="F138" s="38">
        <v>105</v>
      </c>
      <c r="G138" s="38">
        <v>100</v>
      </c>
      <c r="H138" s="38">
        <v>105</v>
      </c>
      <c r="I138" s="38">
        <v>106</v>
      </c>
      <c r="J138" s="38">
        <v>108</v>
      </c>
      <c r="K138" s="449">
        <v>95</v>
      </c>
      <c r="L138" s="449">
        <v>87</v>
      </c>
      <c r="M138" s="701">
        <v>86</v>
      </c>
      <c r="N138" s="32"/>
      <c r="O138" s="33"/>
      <c r="P138" s="33"/>
      <c r="Q138" s="33"/>
      <c r="R138" s="711"/>
      <c r="T138" s="814"/>
      <c r="V138" s="814"/>
    </row>
    <row r="139" spans="2:22" ht="12" customHeight="1" x14ac:dyDescent="0.2">
      <c r="B139" s="21"/>
      <c r="C139" s="41" t="s">
        <v>21</v>
      </c>
      <c r="E139" s="471"/>
      <c r="F139" s="42">
        <v>538</v>
      </c>
      <c r="G139" s="42">
        <v>501</v>
      </c>
      <c r="H139" s="42">
        <v>504</v>
      </c>
      <c r="I139" s="42">
        <v>556</v>
      </c>
      <c r="J139" s="42">
        <v>606</v>
      </c>
      <c r="K139" s="452">
        <v>520</v>
      </c>
      <c r="L139" s="452">
        <v>505</v>
      </c>
      <c r="M139" s="703">
        <v>511</v>
      </c>
      <c r="N139" s="32"/>
      <c r="O139" s="33"/>
      <c r="P139" s="33"/>
      <c r="Q139" s="33"/>
      <c r="R139" s="711"/>
      <c r="T139" s="814"/>
      <c r="V139" s="814"/>
    </row>
    <row r="140" spans="2:22" ht="12" customHeight="1" x14ac:dyDescent="0.2">
      <c r="B140" s="21"/>
      <c r="C140" s="41" t="s">
        <v>22</v>
      </c>
      <c r="E140" s="471"/>
      <c r="F140" s="38">
        <v>643</v>
      </c>
      <c r="G140" s="38">
        <v>601</v>
      </c>
      <c r="H140" s="38">
        <f>SUM(H138:H139)</f>
        <v>609</v>
      </c>
      <c r="I140" s="38">
        <v>662</v>
      </c>
      <c r="J140" s="38">
        <v>714</v>
      </c>
      <c r="K140" s="449">
        <v>615</v>
      </c>
      <c r="L140" s="449">
        <f>SUM(L138:L139)</f>
        <v>592</v>
      </c>
      <c r="M140" s="701">
        <f>SUM(M138:M139)</f>
        <v>597</v>
      </c>
      <c r="N140" s="32"/>
      <c r="O140" s="51"/>
      <c r="P140" s="51"/>
      <c r="Q140" s="51"/>
      <c r="R140" s="715"/>
      <c r="T140" s="814"/>
      <c r="V140" s="814"/>
    </row>
    <row r="141" spans="2:22" ht="12" customHeight="1" x14ac:dyDescent="0.2">
      <c r="B141" s="21"/>
      <c r="C141" s="471" t="s">
        <v>24</v>
      </c>
      <c r="E141" s="471"/>
      <c r="F141" s="38">
        <v>166</v>
      </c>
      <c r="G141" s="38">
        <v>166</v>
      </c>
      <c r="H141" s="38">
        <v>172</v>
      </c>
      <c r="I141" s="38">
        <v>183</v>
      </c>
      <c r="J141" s="38">
        <v>189</v>
      </c>
      <c r="K141" s="449">
        <v>165</v>
      </c>
      <c r="L141" s="449">
        <v>162</v>
      </c>
      <c r="M141" s="699">
        <v>163</v>
      </c>
      <c r="N141" s="32"/>
      <c r="O141" s="51"/>
      <c r="P141" s="51"/>
      <c r="Q141" s="51"/>
      <c r="R141" s="715"/>
      <c r="T141" s="814"/>
      <c r="V141" s="814"/>
    </row>
    <row r="142" spans="2:22" ht="12" customHeight="1" x14ac:dyDescent="0.2">
      <c r="B142" s="21"/>
      <c r="C142" s="471" t="s">
        <v>25</v>
      </c>
      <c r="E142" s="471"/>
      <c r="F142" s="38">
        <v>4</v>
      </c>
      <c r="G142" s="38">
        <v>5</v>
      </c>
      <c r="H142" s="38">
        <v>4</v>
      </c>
      <c r="I142" s="38">
        <v>6</v>
      </c>
      <c r="J142" s="38">
        <v>6</v>
      </c>
      <c r="K142" s="449">
        <v>6</v>
      </c>
      <c r="L142" s="449">
        <v>7</v>
      </c>
      <c r="M142" s="699">
        <v>7</v>
      </c>
      <c r="N142" s="32"/>
      <c r="O142" s="51"/>
      <c r="P142" s="51"/>
      <c r="Q142" s="51"/>
      <c r="R142" s="715"/>
      <c r="T142" s="814"/>
      <c r="V142" s="814"/>
    </row>
    <row r="143" spans="2:22" ht="12" customHeight="1" x14ac:dyDescent="0.2">
      <c r="B143" s="21"/>
      <c r="C143" s="471" t="s">
        <v>26</v>
      </c>
      <c r="E143" s="471"/>
      <c r="F143" s="38">
        <v>30</v>
      </c>
      <c r="G143" s="38">
        <v>26</v>
      </c>
      <c r="H143" s="38">
        <v>33</v>
      </c>
      <c r="I143" s="38">
        <v>33</v>
      </c>
      <c r="J143" s="38">
        <v>28</v>
      </c>
      <c r="K143" s="449">
        <v>18</v>
      </c>
      <c r="L143" s="449">
        <v>23</v>
      </c>
      <c r="M143" s="699">
        <v>23</v>
      </c>
      <c r="N143" s="32"/>
      <c r="O143" s="51"/>
      <c r="P143" s="51"/>
      <c r="Q143" s="51"/>
      <c r="R143" s="715"/>
      <c r="T143" s="814"/>
      <c r="V143" s="814"/>
    </row>
    <row r="144" spans="2:22" s="45" customFormat="1" ht="12" customHeight="1" x14ac:dyDescent="0.2">
      <c r="B144" s="21"/>
      <c r="C144" s="21" t="s">
        <v>38</v>
      </c>
      <c r="D144" s="21"/>
      <c r="E144" s="21"/>
      <c r="F144" s="47">
        <v>963</v>
      </c>
      <c r="G144" s="47">
        <v>924</v>
      </c>
      <c r="H144" s="47">
        <f>SUM(H140:H143)+H136</f>
        <v>956</v>
      </c>
      <c r="I144" s="47">
        <v>1035</v>
      </c>
      <c r="J144" s="47">
        <v>1091</v>
      </c>
      <c r="K144" s="454">
        <v>947</v>
      </c>
      <c r="L144" s="454">
        <f>SUM(L140:L143)+L136</f>
        <v>937</v>
      </c>
      <c r="M144" s="704">
        <f>SUM(M140:M143)+M136</f>
        <v>952</v>
      </c>
      <c r="N144" s="49"/>
      <c r="O144" s="37">
        <v>13.8</v>
      </c>
      <c r="P144" s="37">
        <v>13.2</v>
      </c>
      <c r="Q144" s="37">
        <v>13.2</v>
      </c>
      <c r="R144" s="712">
        <v>11.9</v>
      </c>
      <c r="T144" s="814"/>
      <c r="U144" s="65"/>
      <c r="V144" s="814"/>
    </row>
    <row r="145" spans="2:22" ht="4.5" customHeight="1" x14ac:dyDescent="0.2">
      <c r="C145" s="53"/>
      <c r="D145" s="52"/>
      <c r="E145" s="471"/>
      <c r="F145" s="39"/>
      <c r="G145" s="39"/>
      <c r="H145" s="39"/>
      <c r="I145" s="39"/>
      <c r="J145" s="39"/>
      <c r="K145" s="85"/>
      <c r="L145" s="85"/>
      <c r="M145" s="699"/>
      <c r="N145" s="32"/>
      <c r="O145" s="37"/>
      <c r="P145" s="37"/>
      <c r="Q145" s="37"/>
      <c r="R145" s="712"/>
      <c r="T145" s="814"/>
      <c r="V145" s="814"/>
    </row>
    <row r="146" spans="2:22" ht="12" customHeight="1" x14ac:dyDescent="0.2">
      <c r="C146" s="471" t="s">
        <v>27</v>
      </c>
      <c r="E146" s="471"/>
      <c r="F146" s="44">
        <v>83</v>
      </c>
      <c r="G146" s="44">
        <v>85</v>
      </c>
      <c r="H146" s="44">
        <v>94</v>
      </c>
      <c r="I146" s="44">
        <v>107</v>
      </c>
      <c r="J146" s="44">
        <v>123</v>
      </c>
      <c r="K146" s="450">
        <v>111</v>
      </c>
      <c r="L146" s="450">
        <v>111</v>
      </c>
      <c r="M146" s="705">
        <v>121</v>
      </c>
      <c r="N146" s="32"/>
      <c r="O146" s="33"/>
      <c r="P146" s="33"/>
      <c r="Q146" s="33"/>
      <c r="R146" s="711"/>
      <c r="T146" s="814"/>
      <c r="V146" s="814"/>
    </row>
    <row r="147" spans="2:22" ht="12" customHeight="1" x14ac:dyDescent="0.2">
      <c r="E147" s="471"/>
      <c r="F147" s="39"/>
      <c r="G147" s="39"/>
      <c r="H147" s="39"/>
      <c r="I147" s="39"/>
      <c r="J147" s="39"/>
      <c r="K147" s="85"/>
      <c r="L147" s="85"/>
      <c r="M147" s="699"/>
      <c r="N147" s="32"/>
      <c r="O147" s="33"/>
      <c r="P147" s="33"/>
      <c r="Q147" s="33"/>
      <c r="R147" s="711"/>
    </row>
    <row r="148" spans="2:22" ht="13.5" customHeight="1" x14ac:dyDescent="0.2">
      <c r="C148" s="21" t="s">
        <v>424</v>
      </c>
      <c r="E148" s="471"/>
      <c r="F148" s="39"/>
      <c r="G148" s="39"/>
      <c r="H148" s="39"/>
      <c r="I148" s="39"/>
      <c r="J148" s="39"/>
      <c r="K148" s="85"/>
      <c r="L148" s="85"/>
      <c r="M148" s="699"/>
      <c r="N148" s="32"/>
      <c r="O148" s="33"/>
      <c r="P148" s="33"/>
      <c r="Q148" s="33"/>
      <c r="R148" s="711"/>
    </row>
    <row r="149" spans="2:22" ht="12" customHeight="1" x14ac:dyDescent="0.2">
      <c r="B149" s="21"/>
      <c r="C149" s="471" t="s">
        <v>19</v>
      </c>
      <c r="E149" s="471"/>
      <c r="F149" s="39"/>
      <c r="G149" s="39"/>
      <c r="H149" s="39"/>
      <c r="I149" s="39"/>
      <c r="J149" s="39"/>
      <c r="K149" s="85"/>
      <c r="L149" s="85"/>
      <c r="M149" s="699"/>
      <c r="N149" s="32"/>
      <c r="O149" s="51"/>
      <c r="P149" s="51"/>
      <c r="Q149" s="51"/>
      <c r="R149" s="715"/>
    </row>
    <row r="150" spans="2:22" ht="12" customHeight="1" x14ac:dyDescent="0.2">
      <c r="B150" s="21"/>
      <c r="C150" s="41" t="s">
        <v>20</v>
      </c>
      <c r="E150" s="471"/>
      <c r="F150" s="38">
        <v>257</v>
      </c>
      <c r="G150" s="38">
        <v>255</v>
      </c>
      <c r="H150" s="38">
        <v>243</v>
      </c>
      <c r="I150" s="38">
        <v>244</v>
      </c>
      <c r="J150" s="38">
        <v>231</v>
      </c>
      <c r="K150" s="449">
        <v>229</v>
      </c>
      <c r="L150" s="449">
        <v>213</v>
      </c>
      <c r="M150" s="699">
        <v>194</v>
      </c>
      <c r="N150" s="32"/>
      <c r="O150" s="51"/>
      <c r="P150" s="51"/>
      <c r="Q150" s="51"/>
      <c r="R150" s="715"/>
      <c r="T150" s="814"/>
      <c r="V150" s="814"/>
    </row>
    <row r="151" spans="2:22" ht="12" customHeight="1" x14ac:dyDescent="0.2">
      <c r="B151" s="21"/>
      <c r="C151" s="41" t="s">
        <v>21</v>
      </c>
      <c r="E151" s="471"/>
      <c r="F151" s="42">
        <v>21</v>
      </c>
      <c r="G151" s="42">
        <v>22</v>
      </c>
      <c r="H151" s="42">
        <v>22</v>
      </c>
      <c r="I151" s="42">
        <v>27</v>
      </c>
      <c r="J151" s="42">
        <v>28</v>
      </c>
      <c r="K151" s="452">
        <v>30</v>
      </c>
      <c r="L151" s="452">
        <v>45</v>
      </c>
      <c r="M151" s="700">
        <v>100</v>
      </c>
      <c r="N151" s="32"/>
      <c r="O151" s="51"/>
      <c r="P151" s="51"/>
      <c r="Q151" s="51"/>
      <c r="R151" s="715"/>
      <c r="T151" s="814"/>
      <c r="V151" s="814"/>
    </row>
    <row r="152" spans="2:22" ht="12" customHeight="1" x14ac:dyDescent="0.2">
      <c r="B152" s="21"/>
      <c r="C152" s="41" t="s">
        <v>22</v>
      </c>
      <c r="E152" s="471"/>
      <c r="F152" s="38">
        <v>278</v>
      </c>
      <c r="G152" s="38">
        <v>277</v>
      </c>
      <c r="H152" s="38">
        <f>SUM(H150:H151)</f>
        <v>265</v>
      </c>
      <c r="I152" s="38">
        <v>271</v>
      </c>
      <c r="J152" s="38">
        <v>259</v>
      </c>
      <c r="K152" s="449">
        <v>259</v>
      </c>
      <c r="L152" s="449">
        <f>SUM(L150:L151)</f>
        <v>258</v>
      </c>
      <c r="M152" s="701">
        <f>SUM(M150:M151)</f>
        <v>294</v>
      </c>
      <c r="N152" s="32"/>
      <c r="O152" s="51"/>
      <c r="P152" s="51"/>
      <c r="Q152" s="51"/>
      <c r="R152" s="715"/>
      <c r="T152" s="814"/>
      <c r="V152" s="814"/>
    </row>
    <row r="153" spans="2:22" ht="12" customHeight="1" x14ac:dyDescent="0.2">
      <c r="B153" s="21"/>
      <c r="C153" s="471" t="s">
        <v>23</v>
      </c>
      <c r="E153" s="471"/>
      <c r="F153" s="38"/>
      <c r="G153" s="38"/>
      <c r="H153" s="38"/>
      <c r="I153" s="39"/>
      <c r="J153" s="39"/>
      <c r="K153" s="85"/>
      <c r="L153" s="85"/>
      <c r="M153" s="699"/>
      <c r="N153" s="32"/>
      <c r="O153" s="51"/>
      <c r="P153" s="51"/>
      <c r="Q153" s="51"/>
      <c r="R153" s="715"/>
    </row>
    <row r="154" spans="2:22" ht="12" customHeight="1" x14ac:dyDescent="0.2">
      <c r="B154" s="21"/>
      <c r="C154" s="41" t="s">
        <v>20</v>
      </c>
      <c r="E154" s="471"/>
      <c r="F154" s="38">
        <v>164</v>
      </c>
      <c r="G154" s="38">
        <v>162</v>
      </c>
      <c r="H154" s="38">
        <v>152</v>
      </c>
      <c r="I154" s="38">
        <v>142</v>
      </c>
      <c r="J154" s="38">
        <v>141</v>
      </c>
      <c r="K154" s="449">
        <v>136</v>
      </c>
      <c r="L154" s="449">
        <v>125</v>
      </c>
      <c r="M154" s="701">
        <v>105</v>
      </c>
      <c r="N154" s="32"/>
      <c r="O154" s="51"/>
      <c r="P154" s="51"/>
      <c r="Q154" s="51"/>
      <c r="R154" s="715"/>
      <c r="T154" s="814"/>
      <c r="V154" s="814"/>
    </row>
    <row r="155" spans="2:22" ht="12" customHeight="1" x14ac:dyDescent="0.2">
      <c r="B155" s="21"/>
      <c r="C155" s="41" t="s">
        <v>21</v>
      </c>
      <c r="E155" s="471"/>
      <c r="F155" s="42">
        <v>458</v>
      </c>
      <c r="G155" s="42">
        <v>487</v>
      </c>
      <c r="H155" s="42">
        <v>486</v>
      </c>
      <c r="I155" s="42">
        <v>449</v>
      </c>
      <c r="J155" s="42">
        <v>449</v>
      </c>
      <c r="K155" s="452">
        <v>454</v>
      </c>
      <c r="L155" s="452">
        <v>446</v>
      </c>
      <c r="M155" s="703">
        <v>320</v>
      </c>
      <c r="N155" s="32"/>
      <c r="O155" s="51"/>
      <c r="P155" s="51"/>
      <c r="Q155" s="51"/>
      <c r="R155" s="715"/>
      <c r="T155" s="814"/>
      <c r="V155" s="814"/>
    </row>
    <row r="156" spans="2:22" ht="12" customHeight="1" x14ac:dyDescent="0.2">
      <c r="B156" s="21"/>
      <c r="C156" s="41" t="s">
        <v>22</v>
      </c>
      <c r="E156" s="471"/>
      <c r="F156" s="38">
        <v>622</v>
      </c>
      <c r="G156" s="38">
        <v>649</v>
      </c>
      <c r="H156" s="38">
        <f>SUM(H154:H155)</f>
        <v>638</v>
      </c>
      <c r="I156" s="38">
        <v>591</v>
      </c>
      <c r="J156" s="38">
        <v>590</v>
      </c>
      <c r="K156" s="449">
        <v>590</v>
      </c>
      <c r="L156" s="449">
        <f>SUM(L154:L155)</f>
        <v>571</v>
      </c>
      <c r="M156" s="701">
        <f>SUM(M154:M155)</f>
        <v>425</v>
      </c>
      <c r="N156" s="32"/>
      <c r="O156" s="51"/>
      <c r="P156" s="51"/>
      <c r="Q156" s="51"/>
      <c r="R156" s="715"/>
      <c r="T156" s="814"/>
      <c r="V156" s="814"/>
    </row>
    <row r="157" spans="2:22" ht="12" customHeight="1" x14ac:dyDescent="0.2">
      <c r="B157" s="21"/>
      <c r="C157" s="471" t="s">
        <v>24</v>
      </c>
      <c r="E157" s="471"/>
      <c r="F157" s="38">
        <v>111</v>
      </c>
      <c r="G157" s="38">
        <v>115</v>
      </c>
      <c r="H157" s="38">
        <v>116</v>
      </c>
      <c r="I157" s="38">
        <v>100</v>
      </c>
      <c r="J157" s="38">
        <v>84</v>
      </c>
      <c r="K157" s="449">
        <v>86</v>
      </c>
      <c r="L157" s="449">
        <v>86</v>
      </c>
      <c r="M157" s="699">
        <v>75</v>
      </c>
      <c r="N157" s="32"/>
      <c r="O157" s="51"/>
      <c r="P157" s="51"/>
      <c r="Q157" s="51"/>
      <c r="R157" s="715"/>
      <c r="T157" s="814"/>
      <c r="V157" s="814"/>
    </row>
    <row r="158" spans="2:22" ht="12" customHeight="1" x14ac:dyDescent="0.2">
      <c r="B158" s="21"/>
      <c r="C158" s="471" t="s">
        <v>25</v>
      </c>
      <c r="E158" s="471"/>
      <c r="F158" s="38">
        <v>55</v>
      </c>
      <c r="G158" s="38">
        <v>36</v>
      </c>
      <c r="H158" s="38">
        <v>0</v>
      </c>
      <c r="I158" s="38">
        <v>0</v>
      </c>
      <c r="J158" s="38">
        <v>0</v>
      </c>
      <c r="K158" s="449">
        <v>1</v>
      </c>
      <c r="L158" s="449">
        <f>15-15</f>
        <v>0</v>
      </c>
      <c r="M158" s="699">
        <v>0</v>
      </c>
      <c r="N158" s="32"/>
      <c r="O158" s="51"/>
      <c r="P158" s="51"/>
      <c r="Q158" s="51"/>
      <c r="R158" s="715"/>
      <c r="T158" s="814"/>
      <c r="V158" s="814"/>
    </row>
    <row r="159" spans="2:22" ht="12" customHeight="1" x14ac:dyDescent="0.2">
      <c r="B159" s="21"/>
      <c r="C159" s="471" t="s">
        <v>26</v>
      </c>
      <c r="E159" s="471"/>
      <c r="F159" s="38">
        <v>74</v>
      </c>
      <c r="G159" s="38">
        <v>70</v>
      </c>
      <c r="H159" s="38">
        <v>75</v>
      </c>
      <c r="I159" s="38">
        <v>72</v>
      </c>
      <c r="J159" s="38">
        <v>72</v>
      </c>
      <c r="K159" s="449">
        <v>70</v>
      </c>
      <c r="L159" s="449">
        <f>57+15</f>
        <v>72</v>
      </c>
      <c r="M159" s="699">
        <v>74</v>
      </c>
      <c r="N159" s="32"/>
      <c r="O159" s="51"/>
      <c r="P159" s="51"/>
      <c r="Q159" s="51"/>
      <c r="R159" s="715"/>
      <c r="T159" s="814"/>
      <c r="V159" s="814"/>
    </row>
    <row r="160" spans="2:22" s="45" customFormat="1" ht="12" customHeight="1" x14ac:dyDescent="0.2">
      <c r="B160" s="21"/>
      <c r="C160" s="21" t="s">
        <v>39</v>
      </c>
      <c r="D160" s="21"/>
      <c r="E160" s="21"/>
      <c r="F160" s="47">
        <v>1140</v>
      </c>
      <c r="G160" s="47">
        <v>1147</v>
      </c>
      <c r="H160" s="47">
        <f>SUM(H156:H159)+H152</f>
        <v>1094</v>
      </c>
      <c r="I160" s="47">
        <v>1034</v>
      </c>
      <c r="J160" s="47">
        <v>1005</v>
      </c>
      <c r="K160" s="454">
        <v>1006</v>
      </c>
      <c r="L160" s="454">
        <f>SUM(L156:L159)+L152</f>
        <v>987</v>
      </c>
      <c r="M160" s="704">
        <f>SUM(M156:M159)+M152</f>
        <v>868</v>
      </c>
      <c r="N160" s="49"/>
      <c r="O160" s="37">
        <v>3.2</v>
      </c>
      <c r="P160" s="37">
        <v>4.5999999999999996</v>
      </c>
      <c r="Q160" s="37">
        <v>3.5</v>
      </c>
      <c r="R160" s="712">
        <v>5.0999999999999996</v>
      </c>
      <c r="T160" s="814"/>
      <c r="U160" s="65"/>
      <c r="V160" s="814"/>
    </row>
    <row r="161" spans="2:22" ht="4.5" customHeight="1" x14ac:dyDescent="0.2">
      <c r="C161" s="53"/>
      <c r="D161" s="52"/>
      <c r="E161" s="471"/>
      <c r="F161" s="39"/>
      <c r="G161" s="39"/>
      <c r="H161" s="39"/>
      <c r="I161" s="39"/>
      <c r="J161" s="39"/>
      <c r="K161" s="85"/>
      <c r="L161" s="85"/>
      <c r="M161" s="699"/>
      <c r="N161" s="32"/>
      <c r="O161" s="37"/>
      <c r="P161" s="37"/>
      <c r="Q161" s="37"/>
      <c r="R161" s="712"/>
      <c r="T161" s="814"/>
      <c r="V161" s="814"/>
    </row>
    <row r="162" spans="2:22" s="45" customFormat="1" ht="12" customHeight="1" x14ac:dyDescent="0.2">
      <c r="B162" s="21"/>
      <c r="C162" s="471" t="s">
        <v>27</v>
      </c>
      <c r="D162" s="21"/>
      <c r="E162" s="21"/>
      <c r="F162" s="44">
        <v>176</v>
      </c>
      <c r="G162" s="44">
        <v>188</v>
      </c>
      <c r="H162" s="44">
        <v>183</v>
      </c>
      <c r="I162" s="44">
        <v>196</v>
      </c>
      <c r="J162" s="44">
        <v>196</v>
      </c>
      <c r="K162" s="450">
        <v>209</v>
      </c>
      <c r="L162" s="450">
        <v>219</v>
      </c>
      <c r="M162" s="705">
        <v>199</v>
      </c>
      <c r="N162" s="49"/>
      <c r="O162" s="37"/>
      <c r="P162" s="37"/>
      <c r="Q162" s="37"/>
      <c r="R162" s="712"/>
      <c r="T162" s="814"/>
      <c r="U162" s="65"/>
      <c r="V162" s="814"/>
    </row>
    <row r="163" spans="2:22" s="45" customFormat="1" ht="12" customHeight="1" x14ac:dyDescent="0.2">
      <c r="B163" s="21"/>
      <c r="C163" s="471"/>
      <c r="D163" s="21"/>
      <c r="E163" s="21"/>
      <c r="F163" s="39"/>
      <c r="G163" s="39"/>
      <c r="H163" s="39"/>
      <c r="I163" s="39"/>
      <c r="J163" s="39"/>
      <c r="K163" s="85"/>
      <c r="L163" s="85"/>
      <c r="M163" s="699"/>
      <c r="N163" s="49"/>
      <c r="O163" s="37"/>
      <c r="P163" s="37"/>
      <c r="Q163" s="37"/>
      <c r="R163" s="712"/>
    </row>
    <row r="164" spans="2:22" ht="13.5" customHeight="1" x14ac:dyDescent="0.2">
      <c r="C164" s="21" t="s">
        <v>423</v>
      </c>
      <c r="E164" s="471"/>
      <c r="F164" s="39"/>
      <c r="G164" s="39"/>
      <c r="H164" s="39"/>
      <c r="I164" s="39"/>
      <c r="J164" s="39"/>
      <c r="K164" s="85"/>
      <c r="L164" s="85"/>
      <c r="M164" s="699"/>
      <c r="N164" s="32"/>
      <c r="O164" s="33"/>
      <c r="P164" s="33"/>
      <c r="Q164" s="33"/>
      <c r="R164" s="711"/>
    </row>
    <row r="165" spans="2:22" ht="12" customHeight="1" x14ac:dyDescent="0.2">
      <c r="C165" s="52" t="s">
        <v>19</v>
      </c>
      <c r="D165" s="52"/>
      <c r="E165" s="471"/>
      <c r="F165" s="38"/>
      <c r="G165" s="38"/>
      <c r="H165" s="38"/>
      <c r="I165" s="39"/>
      <c r="J165" s="39"/>
      <c r="K165" s="85"/>
      <c r="L165" s="85"/>
      <c r="M165" s="699"/>
      <c r="N165" s="32"/>
      <c r="O165" s="33"/>
      <c r="P165" s="33"/>
      <c r="Q165" s="33"/>
      <c r="R165" s="711"/>
    </row>
    <row r="166" spans="2:22" ht="12" customHeight="1" x14ac:dyDescent="0.2">
      <c r="C166" s="41" t="s">
        <v>20</v>
      </c>
      <c r="D166" s="52"/>
      <c r="E166" s="471"/>
      <c r="F166" s="38">
        <v>138</v>
      </c>
      <c r="G166" s="38">
        <v>146</v>
      </c>
      <c r="H166" s="38">
        <v>151</v>
      </c>
      <c r="I166" s="38">
        <v>161</v>
      </c>
      <c r="J166" s="38">
        <v>163</v>
      </c>
      <c r="K166" s="449">
        <v>156</v>
      </c>
      <c r="L166" s="449">
        <v>155</v>
      </c>
      <c r="M166" s="699">
        <v>143</v>
      </c>
      <c r="N166" s="32"/>
      <c r="O166" s="33"/>
      <c r="P166" s="33"/>
      <c r="Q166" s="33"/>
      <c r="R166" s="711"/>
      <c r="T166" s="814"/>
      <c r="V166" s="814"/>
    </row>
    <row r="167" spans="2:22" ht="12" customHeight="1" x14ac:dyDescent="0.2">
      <c r="C167" s="41" t="s">
        <v>21</v>
      </c>
      <c r="D167" s="52"/>
      <c r="E167" s="471"/>
      <c r="F167" s="42">
        <v>28</v>
      </c>
      <c r="G167" s="42">
        <v>35</v>
      </c>
      <c r="H167" s="42">
        <v>39</v>
      </c>
      <c r="I167" s="42">
        <v>41</v>
      </c>
      <c r="J167" s="42">
        <v>50</v>
      </c>
      <c r="K167" s="452">
        <v>54</v>
      </c>
      <c r="L167" s="452">
        <v>52</v>
      </c>
      <c r="M167" s="700">
        <v>48</v>
      </c>
      <c r="N167" s="32"/>
      <c r="O167" s="33"/>
      <c r="P167" s="33"/>
      <c r="Q167" s="33"/>
      <c r="R167" s="711"/>
      <c r="T167" s="814"/>
      <c r="V167" s="814"/>
    </row>
    <row r="168" spans="2:22" ht="12" customHeight="1" x14ac:dyDescent="0.2">
      <c r="C168" s="41" t="s">
        <v>22</v>
      </c>
      <c r="D168" s="52"/>
      <c r="E168" s="471"/>
      <c r="F168" s="38">
        <v>166</v>
      </c>
      <c r="G168" s="38">
        <v>181</v>
      </c>
      <c r="H168" s="38">
        <f>SUM(H166:H167)</f>
        <v>190</v>
      </c>
      <c r="I168" s="38">
        <v>202</v>
      </c>
      <c r="J168" s="38">
        <v>213</v>
      </c>
      <c r="K168" s="449">
        <v>210</v>
      </c>
      <c r="L168" s="449">
        <f>SUM(L166:L167)</f>
        <v>207</v>
      </c>
      <c r="M168" s="701">
        <f>SUM(M166:M167)</f>
        <v>191</v>
      </c>
      <c r="N168" s="32"/>
      <c r="O168" s="33"/>
      <c r="P168" s="33"/>
      <c r="Q168" s="33"/>
      <c r="R168" s="711"/>
      <c r="T168" s="814"/>
      <c r="V168" s="814"/>
    </row>
    <row r="169" spans="2:22" ht="12" customHeight="1" x14ac:dyDescent="0.2">
      <c r="C169" s="52" t="s">
        <v>23</v>
      </c>
      <c r="D169" s="52"/>
      <c r="E169" s="471"/>
      <c r="F169" s="38"/>
      <c r="G169" s="38"/>
      <c r="H169" s="38"/>
      <c r="I169" s="39"/>
      <c r="J169" s="39"/>
      <c r="K169" s="85"/>
      <c r="L169" s="85"/>
      <c r="M169" s="699"/>
      <c r="N169" s="32"/>
      <c r="O169" s="33"/>
      <c r="P169" s="33"/>
      <c r="Q169" s="33"/>
      <c r="R169" s="711"/>
    </row>
    <row r="170" spans="2:22" ht="12" customHeight="1" x14ac:dyDescent="0.2">
      <c r="C170" s="41" t="s">
        <v>20</v>
      </c>
      <c r="D170" s="52"/>
      <c r="E170" s="471"/>
      <c r="F170" s="38">
        <v>67</v>
      </c>
      <c r="G170" s="38">
        <v>70</v>
      </c>
      <c r="H170" s="38">
        <v>64</v>
      </c>
      <c r="I170" s="38">
        <v>65</v>
      </c>
      <c r="J170" s="38">
        <v>67</v>
      </c>
      <c r="K170" s="449">
        <v>64</v>
      </c>
      <c r="L170" s="449">
        <v>56</v>
      </c>
      <c r="M170" s="701">
        <v>53</v>
      </c>
      <c r="N170" s="32"/>
      <c r="O170" s="33"/>
      <c r="P170" s="33"/>
      <c r="Q170" s="33"/>
      <c r="R170" s="711"/>
      <c r="T170" s="814"/>
      <c r="V170" s="814"/>
    </row>
    <row r="171" spans="2:22" ht="12" customHeight="1" x14ac:dyDescent="0.2">
      <c r="C171" s="41" t="s">
        <v>21</v>
      </c>
      <c r="D171" s="52"/>
      <c r="E171" s="471"/>
      <c r="F171" s="42">
        <v>82</v>
      </c>
      <c r="G171" s="42">
        <v>80</v>
      </c>
      <c r="H171" s="42">
        <v>75</v>
      </c>
      <c r="I171" s="42">
        <v>69</v>
      </c>
      <c r="J171" s="42">
        <v>69</v>
      </c>
      <c r="K171" s="452">
        <v>68</v>
      </c>
      <c r="L171" s="452">
        <v>56</v>
      </c>
      <c r="M171" s="703">
        <v>43</v>
      </c>
      <c r="N171" s="32"/>
      <c r="O171" s="33"/>
      <c r="P171" s="33"/>
      <c r="Q171" s="33"/>
      <c r="R171" s="711"/>
      <c r="T171" s="814"/>
      <c r="V171" s="814"/>
    </row>
    <row r="172" spans="2:22" ht="12" customHeight="1" x14ac:dyDescent="0.2">
      <c r="C172" s="41" t="s">
        <v>22</v>
      </c>
      <c r="D172" s="52"/>
      <c r="E172" s="471"/>
      <c r="F172" s="38">
        <v>149</v>
      </c>
      <c r="G172" s="38">
        <v>150</v>
      </c>
      <c r="H172" s="38">
        <f>SUM(H170:H171)</f>
        <v>139</v>
      </c>
      <c r="I172" s="38">
        <v>134</v>
      </c>
      <c r="J172" s="38">
        <v>136</v>
      </c>
      <c r="K172" s="449">
        <v>132</v>
      </c>
      <c r="L172" s="449">
        <f>SUM(L170:L171)</f>
        <v>112</v>
      </c>
      <c r="M172" s="701">
        <f>SUM(M170:M171)</f>
        <v>96</v>
      </c>
      <c r="N172" s="32"/>
      <c r="O172" s="33"/>
      <c r="P172" s="33"/>
      <c r="Q172" s="33"/>
      <c r="R172" s="711"/>
      <c r="T172" s="814"/>
      <c r="V172" s="814"/>
    </row>
    <row r="173" spans="2:22" ht="12" customHeight="1" x14ac:dyDescent="0.2">
      <c r="C173" s="52" t="s">
        <v>24</v>
      </c>
      <c r="D173" s="52"/>
      <c r="E173" s="471"/>
      <c r="F173" s="38">
        <v>76</v>
      </c>
      <c r="G173" s="38">
        <v>91</v>
      </c>
      <c r="H173" s="38">
        <v>91</v>
      </c>
      <c r="I173" s="38">
        <v>92</v>
      </c>
      <c r="J173" s="38">
        <v>101</v>
      </c>
      <c r="K173" s="449">
        <v>65</v>
      </c>
      <c r="L173" s="449">
        <v>60</v>
      </c>
      <c r="M173" s="699">
        <v>54</v>
      </c>
      <c r="N173" s="32"/>
      <c r="O173" s="33"/>
      <c r="P173" s="33"/>
      <c r="Q173" s="33"/>
      <c r="R173" s="711"/>
      <c r="T173" s="814"/>
      <c r="V173" s="814"/>
    </row>
    <row r="174" spans="2:22" ht="12" customHeight="1" x14ac:dyDescent="0.2">
      <c r="C174" s="52" t="s">
        <v>25</v>
      </c>
      <c r="D174" s="52"/>
      <c r="E174" s="471"/>
      <c r="F174" s="38">
        <v>24</v>
      </c>
      <c r="G174" s="38">
        <v>29</v>
      </c>
      <c r="H174" s="38">
        <v>27</v>
      </c>
      <c r="I174" s="38">
        <v>31</v>
      </c>
      <c r="J174" s="38">
        <v>34</v>
      </c>
      <c r="K174" s="449">
        <v>32</v>
      </c>
      <c r="L174" s="449">
        <v>28</v>
      </c>
      <c r="M174" s="699">
        <v>26</v>
      </c>
      <c r="N174" s="32"/>
      <c r="O174" s="33"/>
      <c r="P174" s="33"/>
      <c r="Q174" s="33"/>
      <c r="R174" s="711"/>
      <c r="T174" s="814"/>
      <c r="V174" s="814"/>
    </row>
    <row r="175" spans="2:22" ht="12" customHeight="1" x14ac:dyDescent="0.2">
      <c r="C175" s="52" t="s">
        <v>26</v>
      </c>
      <c r="D175" s="52"/>
      <c r="E175" s="471"/>
      <c r="F175" s="38">
        <v>9</v>
      </c>
      <c r="G175" s="38">
        <v>13</v>
      </c>
      <c r="H175" s="38">
        <v>8</v>
      </c>
      <c r="I175" s="38">
        <v>4</v>
      </c>
      <c r="J175" s="38">
        <v>9</v>
      </c>
      <c r="K175" s="449">
        <v>11</v>
      </c>
      <c r="L175" s="449">
        <v>8</v>
      </c>
      <c r="M175" s="699">
        <v>6</v>
      </c>
      <c r="N175" s="32"/>
      <c r="O175" s="33"/>
      <c r="P175" s="33"/>
      <c r="Q175" s="33"/>
      <c r="R175" s="711"/>
      <c r="T175" s="814"/>
      <c r="V175" s="814"/>
    </row>
    <row r="176" spans="2:22" ht="12" customHeight="1" x14ac:dyDescent="0.2">
      <c r="C176" s="53" t="s">
        <v>33</v>
      </c>
      <c r="D176" s="52"/>
      <c r="E176" s="471"/>
      <c r="F176" s="47">
        <v>424</v>
      </c>
      <c r="G176" s="47">
        <v>464</v>
      </c>
      <c r="H176" s="47">
        <f>SUM(H172:H175)+H168</f>
        <v>455</v>
      </c>
      <c r="I176" s="47">
        <v>463</v>
      </c>
      <c r="J176" s="47">
        <v>493</v>
      </c>
      <c r="K176" s="454">
        <v>450</v>
      </c>
      <c r="L176" s="454">
        <f>SUM(L172:L175)+L168</f>
        <v>415</v>
      </c>
      <c r="M176" s="704">
        <f>SUM(M172:M175)+M168</f>
        <v>373</v>
      </c>
      <c r="N176" s="32"/>
      <c r="O176" s="37">
        <v>15.5</v>
      </c>
      <c r="P176" s="37">
        <v>4.8</v>
      </c>
      <c r="Q176" s="37">
        <v>3.9</v>
      </c>
      <c r="R176" s="712">
        <v>6.8</v>
      </c>
      <c r="T176" s="814"/>
      <c r="V176" s="814"/>
    </row>
    <row r="177" spans="2:22" ht="4.5" customHeight="1" x14ac:dyDescent="0.2">
      <c r="C177" s="53"/>
      <c r="D177" s="52"/>
      <c r="E177" s="471"/>
      <c r="F177" s="39"/>
      <c r="G177" s="39"/>
      <c r="H177" s="39"/>
      <c r="I177" s="39"/>
      <c r="J177" s="39"/>
      <c r="K177" s="85"/>
      <c r="L177" s="85"/>
      <c r="M177" s="699"/>
      <c r="N177" s="32"/>
      <c r="O177" s="37"/>
      <c r="P177" s="37"/>
      <c r="Q177" s="37"/>
      <c r="R177" s="712"/>
    </row>
    <row r="178" spans="2:22" ht="12" customHeight="1" x14ac:dyDescent="0.2">
      <c r="C178" s="52" t="s">
        <v>27</v>
      </c>
      <c r="E178" s="471"/>
      <c r="F178" s="44">
        <v>38</v>
      </c>
      <c r="G178" s="44">
        <v>43</v>
      </c>
      <c r="H178" s="44">
        <v>48</v>
      </c>
      <c r="I178" s="44">
        <v>53</v>
      </c>
      <c r="J178" s="44">
        <v>57</v>
      </c>
      <c r="K178" s="450">
        <v>68</v>
      </c>
      <c r="L178" s="450">
        <v>61</v>
      </c>
      <c r="M178" s="705">
        <v>62</v>
      </c>
      <c r="N178" s="32"/>
      <c r="O178" s="33"/>
      <c r="P178" s="33"/>
      <c r="Q178" s="33"/>
      <c r="R178" s="711"/>
    </row>
    <row r="179" spans="2:22" ht="12" customHeight="1" x14ac:dyDescent="0.2">
      <c r="C179" s="52"/>
      <c r="E179" s="471"/>
      <c r="F179" s="44"/>
      <c r="G179" s="44"/>
      <c r="H179" s="44"/>
      <c r="I179" s="44"/>
      <c r="J179" s="44"/>
      <c r="K179" s="450"/>
      <c r="L179" s="450"/>
      <c r="M179" s="705"/>
      <c r="N179" s="32"/>
      <c r="O179" s="33"/>
      <c r="P179" s="33"/>
      <c r="Q179" s="33"/>
      <c r="R179" s="711"/>
    </row>
    <row r="180" spans="2:22" s="45" customFormat="1" ht="13.5" customHeight="1" x14ac:dyDescent="0.2">
      <c r="C180" s="52" t="s">
        <v>422</v>
      </c>
      <c r="D180" s="21"/>
      <c r="E180" s="21"/>
      <c r="F180" s="39">
        <v>305</v>
      </c>
      <c r="G180" s="39">
        <v>316</v>
      </c>
      <c r="H180" s="39">
        <v>307</v>
      </c>
      <c r="I180" s="39">
        <v>284</v>
      </c>
      <c r="J180" s="39">
        <v>295</v>
      </c>
      <c r="K180" s="85">
        <v>279</v>
      </c>
      <c r="L180" s="85">
        <v>274</v>
      </c>
      <c r="M180" s="699">
        <v>260</v>
      </c>
      <c r="N180" s="49"/>
      <c r="O180" s="33">
        <v>8.1999999999999993</v>
      </c>
      <c r="P180" s="33">
        <v>-0.8</v>
      </c>
      <c r="Q180" s="33">
        <v>1.1000000000000001</v>
      </c>
      <c r="R180" s="711">
        <v>2</v>
      </c>
      <c r="T180" s="814"/>
      <c r="U180" s="65"/>
      <c r="V180" s="814"/>
    </row>
    <row r="181" spans="2:22" s="45" customFormat="1" ht="4.5" customHeight="1" x14ac:dyDescent="0.2">
      <c r="C181" s="52"/>
      <c r="D181" s="21"/>
      <c r="E181" s="21"/>
      <c r="F181" s="39"/>
      <c r="G181" s="39"/>
      <c r="H181" s="39"/>
      <c r="I181" s="39"/>
      <c r="J181" s="39"/>
      <c r="K181" s="85"/>
      <c r="L181" s="85"/>
      <c r="M181" s="699"/>
      <c r="N181" s="49"/>
      <c r="O181" s="37"/>
      <c r="P181" s="37"/>
      <c r="Q181" s="37"/>
      <c r="R181" s="712"/>
    </row>
    <row r="182" spans="2:22" s="45" customFormat="1" ht="27.75" customHeight="1" x14ac:dyDescent="0.2">
      <c r="C182" s="55" t="s">
        <v>156</v>
      </c>
      <c r="D182" s="21"/>
      <c r="E182" s="21"/>
      <c r="F182" s="50">
        <v>1283</v>
      </c>
      <c r="G182" s="50">
        <v>1349</v>
      </c>
      <c r="H182" s="50">
        <v>1381</v>
      </c>
      <c r="I182" s="50">
        <v>1426</v>
      </c>
      <c r="J182" s="50">
        <v>1431</v>
      </c>
      <c r="K182" s="86">
        <v>1350</v>
      </c>
      <c r="L182" s="86">
        <v>1297</v>
      </c>
      <c r="M182" s="707">
        <v>1217</v>
      </c>
      <c r="N182" s="49"/>
      <c r="O182" s="33">
        <v>5.3</v>
      </c>
      <c r="P182" s="33">
        <v>1.6</v>
      </c>
      <c r="Q182" s="33">
        <v>1.9</v>
      </c>
      <c r="R182" s="711" t="s">
        <v>453</v>
      </c>
      <c r="T182" s="814"/>
      <c r="U182" s="65"/>
      <c r="V182" s="814"/>
    </row>
    <row r="183" spans="2:22" ht="12" customHeight="1" x14ac:dyDescent="0.2">
      <c r="C183" s="471" t="s">
        <v>34</v>
      </c>
      <c r="E183" s="471"/>
      <c r="F183" s="39">
        <v>0</v>
      </c>
      <c r="G183" s="39">
        <v>-1</v>
      </c>
      <c r="H183" s="39">
        <f>+H184-H182-H160-H144</f>
        <v>0</v>
      </c>
      <c r="I183" s="39">
        <v>-1</v>
      </c>
      <c r="J183" s="39">
        <v>0</v>
      </c>
      <c r="K183" s="85">
        <v>0</v>
      </c>
      <c r="L183" s="85">
        <f>+L184-L182-L160-L144</f>
        <v>0</v>
      </c>
      <c r="M183" s="699">
        <f>+M184-M182-M160-M144</f>
        <v>-1</v>
      </c>
      <c r="N183" s="32"/>
      <c r="O183" s="33"/>
      <c r="P183" s="33"/>
      <c r="Q183" s="33"/>
      <c r="R183" s="711"/>
      <c r="T183" s="814"/>
      <c r="V183" s="814"/>
    </row>
    <row r="184" spans="2:22" s="45" customFormat="1" ht="12" customHeight="1" x14ac:dyDescent="0.2">
      <c r="C184" s="21" t="s">
        <v>28</v>
      </c>
      <c r="D184" s="21"/>
      <c r="E184" s="21"/>
      <c r="F184" s="47">
        <v>3386</v>
      </c>
      <c r="G184" s="47">
        <v>3419</v>
      </c>
      <c r="H184" s="47">
        <v>3431</v>
      </c>
      <c r="I184" s="47">
        <v>3494</v>
      </c>
      <c r="J184" s="47">
        <v>3527</v>
      </c>
      <c r="K184" s="454">
        <v>3303</v>
      </c>
      <c r="L184" s="454">
        <v>3221</v>
      </c>
      <c r="M184" s="708">
        <v>3036</v>
      </c>
      <c r="N184" s="49"/>
      <c r="O184" s="56">
        <f t="shared" ref="O184:Q184" si="2">+O128</f>
        <v>7.2</v>
      </c>
      <c r="P184" s="56">
        <f t="shared" si="2"/>
        <v>5.6</v>
      </c>
      <c r="Q184" s="56">
        <f t="shared" si="2"/>
        <v>5.5</v>
      </c>
      <c r="R184" s="716">
        <f t="shared" ref="R184" si="3">+R128</f>
        <v>6</v>
      </c>
      <c r="T184" s="814"/>
      <c r="U184" s="65"/>
      <c r="V184" s="814"/>
    </row>
    <row r="185" spans="2:22" ht="12" customHeight="1" x14ac:dyDescent="0.2">
      <c r="E185" s="471"/>
      <c r="F185" s="39"/>
      <c r="G185" s="39"/>
      <c r="H185" s="39"/>
      <c r="I185" s="39"/>
      <c r="J185" s="39"/>
      <c r="K185" s="85"/>
      <c r="L185" s="39"/>
      <c r="M185" s="39"/>
      <c r="N185" s="57"/>
      <c r="O185" s="51"/>
      <c r="P185" s="51"/>
      <c r="Q185" s="56"/>
      <c r="R185" s="56"/>
      <c r="S185" s="56"/>
    </row>
    <row r="186" spans="2:22" ht="12" customHeight="1" x14ac:dyDescent="0.2">
      <c r="E186" s="471"/>
      <c r="F186" s="39"/>
      <c r="G186" s="39"/>
      <c r="H186" s="39"/>
      <c r="I186" s="39"/>
      <c r="J186" s="39"/>
      <c r="K186" s="85"/>
      <c r="L186" s="39"/>
      <c r="M186" s="39"/>
      <c r="N186" s="57"/>
      <c r="O186" s="51"/>
      <c r="P186" s="51"/>
      <c r="Q186" s="56"/>
      <c r="R186" s="56"/>
      <c r="S186" s="56"/>
    </row>
    <row r="187" spans="2:22" ht="12" customHeight="1" x14ac:dyDescent="0.2">
      <c r="E187" s="471"/>
      <c r="F187" s="58"/>
      <c r="G187" s="58"/>
      <c r="H187" s="58"/>
      <c r="I187" s="39"/>
      <c r="J187" s="39"/>
      <c r="K187" s="85"/>
      <c r="L187" s="39"/>
      <c r="M187" s="39"/>
      <c r="N187" s="57"/>
      <c r="O187" s="33"/>
      <c r="P187" s="33"/>
      <c r="Q187" s="33"/>
      <c r="R187" s="33"/>
      <c r="S187" s="33"/>
    </row>
    <row r="188" spans="2:22" ht="12" customHeight="1" x14ac:dyDescent="0.2">
      <c r="B188" s="824" t="s">
        <v>40</v>
      </c>
      <c r="C188" s="824"/>
      <c r="D188" s="464"/>
      <c r="E188" s="471"/>
      <c r="F188" s="60"/>
      <c r="G188" s="60"/>
      <c r="H188" s="60"/>
      <c r="I188" s="61"/>
      <c r="J188" s="61"/>
      <c r="K188" s="456"/>
      <c r="L188" s="60"/>
      <c r="M188" s="60"/>
      <c r="N188" s="471"/>
      <c r="O188" s="62"/>
      <c r="P188" s="62"/>
      <c r="Q188" s="62"/>
      <c r="R188" s="62"/>
      <c r="S188" s="62"/>
    </row>
    <row r="189" spans="2:22" ht="63.75" customHeight="1" x14ac:dyDescent="0.2">
      <c r="B189" s="63" t="s">
        <v>41</v>
      </c>
      <c r="C189" s="822" t="s">
        <v>42</v>
      </c>
      <c r="D189" s="822"/>
      <c r="E189" s="823"/>
      <c r="F189" s="823"/>
      <c r="G189" s="823"/>
      <c r="H189" s="823"/>
      <c r="I189" s="823"/>
      <c r="J189" s="823"/>
      <c r="K189" s="823"/>
      <c r="L189" s="823"/>
      <c r="M189" s="823"/>
      <c r="N189" s="823"/>
      <c r="O189" s="823"/>
      <c r="P189" s="823"/>
      <c r="Q189" s="823"/>
      <c r="R189" s="823"/>
      <c r="S189" s="668"/>
    </row>
    <row r="190" spans="2:22" ht="27.75" customHeight="1" x14ac:dyDescent="0.2">
      <c r="B190" s="63" t="s">
        <v>43</v>
      </c>
      <c r="C190" s="820" t="s">
        <v>428</v>
      </c>
      <c r="D190" s="821"/>
      <c r="E190" s="821"/>
      <c r="F190" s="821"/>
      <c r="G190" s="821"/>
      <c r="H190" s="821"/>
      <c r="I190" s="821"/>
      <c r="J190" s="821"/>
      <c r="K190" s="821"/>
      <c r="L190" s="821"/>
      <c r="M190" s="821"/>
      <c r="N190" s="821"/>
      <c r="O190" s="821"/>
      <c r="P190" s="821"/>
      <c r="Q190" s="821"/>
      <c r="R190" s="821"/>
      <c r="S190" s="667"/>
    </row>
    <row r="191" spans="2:22" ht="27" customHeight="1" x14ac:dyDescent="0.2">
      <c r="B191" s="64">
        <v>3</v>
      </c>
      <c r="C191" s="818" t="s">
        <v>44</v>
      </c>
      <c r="D191" s="818"/>
      <c r="E191" s="819"/>
      <c r="F191" s="819"/>
      <c r="G191" s="819"/>
      <c r="H191" s="819"/>
      <c r="I191" s="819"/>
      <c r="J191" s="819"/>
      <c r="K191" s="819"/>
      <c r="L191" s="819"/>
      <c r="M191" s="819"/>
      <c r="N191" s="819"/>
      <c r="O191" s="819"/>
      <c r="P191" s="819"/>
      <c r="Q191" s="819"/>
      <c r="R191" s="819"/>
      <c r="S191" s="666"/>
    </row>
    <row r="192" spans="2:22" ht="12.75" customHeight="1" x14ac:dyDescent="0.2">
      <c r="B192" s="64">
        <v>4</v>
      </c>
      <c r="C192" s="471" t="s">
        <v>45</v>
      </c>
      <c r="D192" s="461"/>
      <c r="E192" s="462"/>
      <c r="F192" s="462"/>
      <c r="G192" s="462"/>
      <c r="H192" s="462"/>
      <c r="I192" s="462"/>
      <c r="J192" s="462"/>
      <c r="K192" s="463"/>
      <c r="L192" s="462"/>
      <c r="M192" s="666"/>
      <c r="N192" s="462"/>
      <c r="O192" s="462"/>
      <c r="P192" s="462"/>
      <c r="Q192" s="462"/>
      <c r="R192" s="462"/>
      <c r="S192" s="666"/>
    </row>
    <row r="193" spans="2:19" ht="12.75" customHeight="1" x14ac:dyDescent="0.2">
      <c r="B193" s="64">
        <v>5</v>
      </c>
      <c r="C193" s="696" t="s">
        <v>427</v>
      </c>
      <c r="D193" s="692"/>
      <c r="E193" s="693"/>
      <c r="F193" s="693"/>
      <c r="G193" s="693"/>
      <c r="H193" s="693"/>
      <c r="I193" s="693"/>
      <c r="J193" s="693"/>
      <c r="K193" s="694"/>
      <c r="L193" s="693"/>
      <c r="M193" s="693"/>
      <c r="N193" s="693"/>
      <c r="O193" s="693"/>
      <c r="P193" s="693"/>
      <c r="Q193" s="693"/>
      <c r="R193" s="693"/>
      <c r="S193" s="693"/>
    </row>
    <row r="194" spans="2:19" ht="12.75" customHeight="1" x14ac:dyDescent="0.2">
      <c r="B194" s="64">
        <v>6</v>
      </c>
      <c r="C194" s="696" t="s">
        <v>429</v>
      </c>
      <c r="D194" s="692"/>
      <c r="E194" s="693"/>
      <c r="F194" s="693"/>
      <c r="G194" s="693"/>
      <c r="H194" s="693"/>
      <c r="I194" s="693"/>
      <c r="J194" s="693"/>
      <c r="K194" s="694"/>
      <c r="L194" s="693"/>
      <c r="M194" s="693"/>
      <c r="N194" s="693"/>
      <c r="O194" s="693"/>
      <c r="P194" s="693"/>
      <c r="Q194" s="693"/>
      <c r="R194" s="693"/>
      <c r="S194" s="693"/>
    </row>
    <row r="195" spans="2:19" x14ac:dyDescent="0.2">
      <c r="B195" s="64">
        <v>7</v>
      </c>
      <c r="C195" s="471" t="s">
        <v>302</v>
      </c>
    </row>
    <row r="196" spans="2:19" x14ac:dyDescent="0.2">
      <c r="B196" s="64">
        <v>8</v>
      </c>
      <c r="C196" s="471" t="s">
        <v>46</v>
      </c>
    </row>
    <row r="197" spans="2:19" x14ac:dyDescent="0.2">
      <c r="B197" s="64">
        <v>9</v>
      </c>
      <c r="C197" s="471" t="s">
        <v>47</v>
      </c>
    </row>
    <row r="198" spans="2:19" x14ac:dyDescent="0.2">
      <c r="B198" s="64">
        <v>10</v>
      </c>
      <c r="C198" s="471" t="s">
        <v>48</v>
      </c>
    </row>
    <row r="199" spans="2:19" x14ac:dyDescent="0.2">
      <c r="B199" s="64"/>
      <c r="C199" s="820"/>
      <c r="D199" s="821"/>
      <c r="E199" s="821"/>
      <c r="F199" s="821"/>
      <c r="G199" s="821"/>
      <c r="H199" s="821"/>
      <c r="I199" s="821"/>
      <c r="J199" s="821"/>
      <c r="K199" s="821"/>
      <c r="L199" s="821"/>
      <c r="M199" s="821"/>
      <c r="N199" s="821"/>
      <c r="O199" s="821"/>
      <c r="P199" s="821"/>
      <c r="Q199" s="821"/>
      <c r="R199" s="821"/>
      <c r="S199" s="667"/>
    </row>
    <row r="200" spans="2:19" x14ac:dyDescent="0.2">
      <c r="B200" s="64"/>
      <c r="C200" s="818"/>
      <c r="D200" s="818"/>
      <c r="E200" s="819"/>
      <c r="F200" s="819"/>
      <c r="G200" s="819"/>
      <c r="H200" s="819"/>
      <c r="I200" s="819"/>
      <c r="J200" s="819"/>
      <c r="K200" s="819"/>
      <c r="L200" s="819"/>
      <c r="M200" s="819"/>
      <c r="N200" s="819"/>
      <c r="O200" s="819"/>
      <c r="P200" s="819"/>
      <c r="Q200" s="819"/>
      <c r="R200" s="819"/>
      <c r="S200" s="666"/>
    </row>
    <row r="201" spans="2:19" x14ac:dyDescent="0.2">
      <c r="B201" s="64"/>
      <c r="C201" s="65"/>
      <c r="D201" s="65"/>
      <c r="F201" s="65"/>
      <c r="G201" s="65"/>
      <c r="H201" s="65"/>
      <c r="I201" s="65"/>
      <c r="J201" s="65"/>
      <c r="L201" s="65"/>
      <c r="M201" s="65"/>
    </row>
  </sheetData>
  <sheetProtection formatCells="0" formatColumns="0" formatRows="0" sort="0" autoFilter="0" pivotTables="0"/>
  <mergeCells count="10">
    <mergeCell ref="O1:R1"/>
    <mergeCell ref="B4:C4"/>
    <mergeCell ref="B25:C25"/>
    <mergeCell ref="C190:R190"/>
    <mergeCell ref="C7:E7"/>
    <mergeCell ref="C200:R200"/>
    <mergeCell ref="C199:R199"/>
    <mergeCell ref="C189:R189"/>
    <mergeCell ref="B188:C188"/>
    <mergeCell ref="C191:R191"/>
  </mergeCells>
  <hyperlinks>
    <hyperlink ref="A1" location="Index!A1" display="Index"/>
  </hyperlinks>
  <pageMargins left="0.74803149606299213" right="0.74803149606299213" top="0.98425196850393704" bottom="0.98425196850393704" header="0.51181102362204722" footer="0.51181102362204722"/>
  <pageSetup paperSize="9" scale="55" fitToHeight="2" orientation="portrait" r:id="rId1"/>
  <headerFooter alignWithMargins="0">
    <oddHeader xml:space="preserve">&amp;L&amp;"Vodafone Rg,Regular"Vodafone Group Plc&amp;C&amp;"Vodafone Rg,Regular"01 Quarterly revenue </oddHeader>
  </headerFooter>
  <rowBreaks count="2" manualBreakCount="2">
    <brk id="104" min="1" max="16" man="1"/>
    <brk id="147" min="1" max="1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C14" sqref="C14"/>
    </sheetView>
  </sheetViews>
  <sheetFormatPr defaultRowHeight="12.75" x14ac:dyDescent="0.2"/>
  <cols>
    <col min="1" max="1" width="5.42578125" style="554" customWidth="1"/>
    <col min="2" max="2" width="59.42578125" style="554" customWidth="1"/>
    <col min="3" max="3" width="14.28515625" style="554" customWidth="1"/>
    <col min="4" max="4" width="1.7109375" style="554" customWidth="1"/>
    <col min="5" max="5" width="14.28515625" style="554" customWidth="1"/>
    <col min="6" max="22" width="9.140625" style="554" customWidth="1"/>
    <col min="23" max="256" width="11.42578125" style="554" customWidth="1"/>
    <col min="257" max="257" width="5.42578125" style="554" customWidth="1"/>
    <col min="258" max="258" width="59.42578125" style="554" customWidth="1"/>
    <col min="259" max="259" width="14.28515625" style="554" customWidth="1"/>
    <col min="260" max="260" width="1.7109375" style="554" customWidth="1"/>
    <col min="261" max="261" width="14.28515625" style="554" customWidth="1"/>
    <col min="262" max="278" width="9.140625" style="554" customWidth="1"/>
    <col min="279" max="512" width="11.42578125" style="554" customWidth="1"/>
    <col min="513" max="513" width="5.42578125" style="554" customWidth="1"/>
    <col min="514" max="514" width="59.42578125" style="554" customWidth="1"/>
    <col min="515" max="515" width="14.28515625" style="554" customWidth="1"/>
    <col min="516" max="516" width="1.7109375" style="554" customWidth="1"/>
    <col min="517" max="517" width="14.28515625" style="554" customWidth="1"/>
    <col min="518" max="534" width="9.140625" style="554" customWidth="1"/>
    <col min="535" max="768" width="11.42578125" style="554" customWidth="1"/>
    <col min="769" max="769" width="5.42578125" style="554" customWidth="1"/>
    <col min="770" max="770" width="59.42578125" style="554" customWidth="1"/>
    <col min="771" max="771" width="14.28515625" style="554" customWidth="1"/>
    <col min="772" max="772" width="1.7109375" style="554" customWidth="1"/>
    <col min="773" max="773" width="14.28515625" style="554" customWidth="1"/>
    <col min="774" max="790" width="9.140625" style="554" customWidth="1"/>
    <col min="791" max="1024" width="11.42578125" style="554" customWidth="1"/>
    <col min="1025" max="1025" width="5.42578125" style="554" customWidth="1"/>
    <col min="1026" max="1026" width="59.42578125" style="554" customWidth="1"/>
    <col min="1027" max="1027" width="14.28515625" style="554" customWidth="1"/>
    <col min="1028" max="1028" width="1.7109375" style="554" customWidth="1"/>
    <col min="1029" max="1029" width="14.28515625" style="554" customWidth="1"/>
    <col min="1030" max="1046" width="9.140625" style="554" customWidth="1"/>
    <col min="1047" max="1280" width="11.42578125" style="554" customWidth="1"/>
    <col min="1281" max="1281" width="5.42578125" style="554" customWidth="1"/>
    <col min="1282" max="1282" width="59.42578125" style="554" customWidth="1"/>
    <col min="1283" max="1283" width="14.28515625" style="554" customWidth="1"/>
    <col min="1284" max="1284" width="1.7109375" style="554" customWidth="1"/>
    <col min="1285" max="1285" width="14.28515625" style="554" customWidth="1"/>
    <col min="1286" max="1302" width="9.140625" style="554" customWidth="1"/>
    <col min="1303" max="1536" width="11.42578125" style="554" customWidth="1"/>
    <col min="1537" max="1537" width="5.42578125" style="554" customWidth="1"/>
    <col min="1538" max="1538" width="59.42578125" style="554" customWidth="1"/>
    <col min="1539" max="1539" width="14.28515625" style="554" customWidth="1"/>
    <col min="1540" max="1540" width="1.7109375" style="554" customWidth="1"/>
    <col min="1541" max="1541" width="14.28515625" style="554" customWidth="1"/>
    <col min="1542" max="1558" width="9.140625" style="554" customWidth="1"/>
    <col min="1559" max="1792" width="11.42578125" style="554" customWidth="1"/>
    <col min="1793" max="1793" width="5.42578125" style="554" customWidth="1"/>
    <col min="1794" max="1794" width="59.42578125" style="554" customWidth="1"/>
    <col min="1795" max="1795" width="14.28515625" style="554" customWidth="1"/>
    <col min="1796" max="1796" width="1.7109375" style="554" customWidth="1"/>
    <col min="1797" max="1797" width="14.28515625" style="554" customWidth="1"/>
    <col min="1798" max="1814" width="9.140625" style="554" customWidth="1"/>
    <col min="1815" max="2048" width="11.42578125" style="554" customWidth="1"/>
    <col min="2049" max="2049" width="5.42578125" style="554" customWidth="1"/>
    <col min="2050" max="2050" width="59.42578125" style="554" customWidth="1"/>
    <col min="2051" max="2051" width="14.28515625" style="554" customWidth="1"/>
    <col min="2052" max="2052" width="1.7109375" style="554" customWidth="1"/>
    <col min="2053" max="2053" width="14.28515625" style="554" customWidth="1"/>
    <col min="2054" max="2070" width="9.140625" style="554" customWidth="1"/>
    <col min="2071" max="2304" width="11.42578125" style="554" customWidth="1"/>
    <col min="2305" max="2305" width="5.42578125" style="554" customWidth="1"/>
    <col min="2306" max="2306" width="59.42578125" style="554" customWidth="1"/>
    <col min="2307" max="2307" width="14.28515625" style="554" customWidth="1"/>
    <col min="2308" max="2308" width="1.7109375" style="554" customWidth="1"/>
    <col min="2309" max="2309" width="14.28515625" style="554" customWidth="1"/>
    <col min="2310" max="2326" width="9.140625" style="554" customWidth="1"/>
    <col min="2327" max="2560" width="11.42578125" style="554" customWidth="1"/>
    <col min="2561" max="2561" width="5.42578125" style="554" customWidth="1"/>
    <col min="2562" max="2562" width="59.42578125" style="554" customWidth="1"/>
    <col min="2563" max="2563" width="14.28515625" style="554" customWidth="1"/>
    <col min="2564" max="2564" width="1.7109375" style="554" customWidth="1"/>
    <col min="2565" max="2565" width="14.28515625" style="554" customWidth="1"/>
    <col min="2566" max="2582" width="9.140625" style="554" customWidth="1"/>
    <col min="2583" max="2816" width="11.42578125" style="554" customWidth="1"/>
    <col min="2817" max="2817" width="5.42578125" style="554" customWidth="1"/>
    <col min="2818" max="2818" width="59.42578125" style="554" customWidth="1"/>
    <col min="2819" max="2819" width="14.28515625" style="554" customWidth="1"/>
    <col min="2820" max="2820" width="1.7109375" style="554" customWidth="1"/>
    <col min="2821" max="2821" width="14.28515625" style="554" customWidth="1"/>
    <col min="2822" max="2838" width="9.140625" style="554" customWidth="1"/>
    <col min="2839" max="3072" width="11.42578125" style="554" customWidth="1"/>
    <col min="3073" max="3073" width="5.42578125" style="554" customWidth="1"/>
    <col min="3074" max="3074" width="59.42578125" style="554" customWidth="1"/>
    <col min="3075" max="3075" width="14.28515625" style="554" customWidth="1"/>
    <col min="3076" max="3076" width="1.7109375" style="554" customWidth="1"/>
    <col min="3077" max="3077" width="14.28515625" style="554" customWidth="1"/>
    <col min="3078" max="3094" width="9.140625" style="554" customWidth="1"/>
    <col min="3095" max="3328" width="11.42578125" style="554" customWidth="1"/>
    <col min="3329" max="3329" width="5.42578125" style="554" customWidth="1"/>
    <col min="3330" max="3330" width="59.42578125" style="554" customWidth="1"/>
    <col min="3331" max="3331" width="14.28515625" style="554" customWidth="1"/>
    <col min="3332" max="3332" width="1.7109375" style="554" customWidth="1"/>
    <col min="3333" max="3333" width="14.28515625" style="554" customWidth="1"/>
    <col min="3334" max="3350" width="9.140625" style="554" customWidth="1"/>
    <col min="3351" max="3584" width="11.42578125" style="554" customWidth="1"/>
    <col min="3585" max="3585" width="5.42578125" style="554" customWidth="1"/>
    <col min="3586" max="3586" width="59.42578125" style="554" customWidth="1"/>
    <col min="3587" max="3587" width="14.28515625" style="554" customWidth="1"/>
    <col min="3588" max="3588" width="1.7109375" style="554" customWidth="1"/>
    <col min="3589" max="3589" width="14.28515625" style="554" customWidth="1"/>
    <col min="3590" max="3606" width="9.140625" style="554" customWidth="1"/>
    <col min="3607" max="3840" width="11.42578125" style="554" customWidth="1"/>
    <col min="3841" max="3841" width="5.42578125" style="554" customWidth="1"/>
    <col min="3842" max="3842" width="59.42578125" style="554" customWidth="1"/>
    <col min="3843" max="3843" width="14.28515625" style="554" customWidth="1"/>
    <col min="3844" max="3844" width="1.7109375" style="554" customWidth="1"/>
    <col min="3845" max="3845" width="14.28515625" style="554" customWidth="1"/>
    <col min="3846" max="3862" width="9.140625" style="554" customWidth="1"/>
    <col min="3863" max="4096" width="11.42578125" style="554" customWidth="1"/>
    <col min="4097" max="4097" width="5.42578125" style="554" customWidth="1"/>
    <col min="4098" max="4098" width="59.42578125" style="554" customWidth="1"/>
    <col min="4099" max="4099" width="14.28515625" style="554" customWidth="1"/>
    <col min="4100" max="4100" width="1.7109375" style="554" customWidth="1"/>
    <col min="4101" max="4101" width="14.28515625" style="554" customWidth="1"/>
    <col min="4102" max="4118" width="9.140625" style="554" customWidth="1"/>
    <col min="4119" max="4352" width="11.42578125" style="554" customWidth="1"/>
    <col min="4353" max="4353" width="5.42578125" style="554" customWidth="1"/>
    <col min="4354" max="4354" width="59.42578125" style="554" customWidth="1"/>
    <col min="4355" max="4355" width="14.28515625" style="554" customWidth="1"/>
    <col min="4356" max="4356" width="1.7109375" style="554" customWidth="1"/>
    <col min="4357" max="4357" width="14.28515625" style="554" customWidth="1"/>
    <col min="4358" max="4374" width="9.140625" style="554" customWidth="1"/>
    <col min="4375" max="4608" width="11.42578125" style="554" customWidth="1"/>
    <col min="4609" max="4609" width="5.42578125" style="554" customWidth="1"/>
    <col min="4610" max="4610" width="59.42578125" style="554" customWidth="1"/>
    <col min="4611" max="4611" width="14.28515625" style="554" customWidth="1"/>
    <col min="4612" max="4612" width="1.7109375" style="554" customWidth="1"/>
    <col min="4613" max="4613" width="14.28515625" style="554" customWidth="1"/>
    <col min="4614" max="4630" width="9.140625" style="554" customWidth="1"/>
    <col min="4631" max="4864" width="11.42578125" style="554" customWidth="1"/>
    <col min="4865" max="4865" width="5.42578125" style="554" customWidth="1"/>
    <col min="4866" max="4866" width="59.42578125" style="554" customWidth="1"/>
    <col min="4867" max="4867" width="14.28515625" style="554" customWidth="1"/>
    <col min="4868" max="4868" width="1.7109375" style="554" customWidth="1"/>
    <col min="4869" max="4869" width="14.28515625" style="554" customWidth="1"/>
    <col min="4870" max="4886" width="9.140625" style="554" customWidth="1"/>
    <col min="4887" max="5120" width="11.42578125" style="554" customWidth="1"/>
    <col min="5121" max="5121" width="5.42578125" style="554" customWidth="1"/>
    <col min="5122" max="5122" width="59.42578125" style="554" customWidth="1"/>
    <col min="5123" max="5123" width="14.28515625" style="554" customWidth="1"/>
    <col min="5124" max="5124" width="1.7109375" style="554" customWidth="1"/>
    <col min="5125" max="5125" width="14.28515625" style="554" customWidth="1"/>
    <col min="5126" max="5142" width="9.140625" style="554" customWidth="1"/>
    <col min="5143" max="5376" width="11.42578125" style="554" customWidth="1"/>
    <col min="5377" max="5377" width="5.42578125" style="554" customWidth="1"/>
    <col min="5378" max="5378" width="59.42578125" style="554" customWidth="1"/>
    <col min="5379" max="5379" width="14.28515625" style="554" customWidth="1"/>
    <col min="5380" max="5380" width="1.7109375" style="554" customWidth="1"/>
    <col min="5381" max="5381" width="14.28515625" style="554" customWidth="1"/>
    <col min="5382" max="5398" width="9.140625" style="554" customWidth="1"/>
    <col min="5399" max="5632" width="11.42578125" style="554" customWidth="1"/>
    <col min="5633" max="5633" width="5.42578125" style="554" customWidth="1"/>
    <col min="5634" max="5634" width="59.42578125" style="554" customWidth="1"/>
    <col min="5635" max="5635" width="14.28515625" style="554" customWidth="1"/>
    <col min="5636" max="5636" width="1.7109375" style="554" customWidth="1"/>
    <col min="5637" max="5637" width="14.28515625" style="554" customWidth="1"/>
    <col min="5638" max="5654" width="9.140625" style="554" customWidth="1"/>
    <col min="5655" max="5888" width="11.42578125" style="554" customWidth="1"/>
    <col min="5889" max="5889" width="5.42578125" style="554" customWidth="1"/>
    <col min="5890" max="5890" width="59.42578125" style="554" customWidth="1"/>
    <col min="5891" max="5891" width="14.28515625" style="554" customWidth="1"/>
    <col min="5892" max="5892" width="1.7109375" style="554" customWidth="1"/>
    <col min="5893" max="5893" width="14.28515625" style="554" customWidth="1"/>
    <col min="5894" max="5910" width="9.140625" style="554" customWidth="1"/>
    <col min="5911" max="6144" width="11.42578125" style="554" customWidth="1"/>
    <col min="6145" max="6145" width="5.42578125" style="554" customWidth="1"/>
    <col min="6146" max="6146" width="59.42578125" style="554" customWidth="1"/>
    <col min="6147" max="6147" width="14.28515625" style="554" customWidth="1"/>
    <col min="6148" max="6148" width="1.7109375" style="554" customWidth="1"/>
    <col min="6149" max="6149" width="14.28515625" style="554" customWidth="1"/>
    <col min="6150" max="6166" width="9.140625" style="554" customWidth="1"/>
    <col min="6167" max="6400" width="11.42578125" style="554" customWidth="1"/>
    <col min="6401" max="6401" width="5.42578125" style="554" customWidth="1"/>
    <col min="6402" max="6402" width="59.42578125" style="554" customWidth="1"/>
    <col min="6403" max="6403" width="14.28515625" style="554" customWidth="1"/>
    <col min="6404" max="6404" width="1.7109375" style="554" customWidth="1"/>
    <col min="6405" max="6405" width="14.28515625" style="554" customWidth="1"/>
    <col min="6406" max="6422" width="9.140625" style="554" customWidth="1"/>
    <col min="6423" max="6656" width="11.42578125" style="554" customWidth="1"/>
    <col min="6657" max="6657" width="5.42578125" style="554" customWidth="1"/>
    <col min="6658" max="6658" width="59.42578125" style="554" customWidth="1"/>
    <col min="6659" max="6659" width="14.28515625" style="554" customWidth="1"/>
    <col min="6660" max="6660" width="1.7109375" style="554" customWidth="1"/>
    <col min="6661" max="6661" width="14.28515625" style="554" customWidth="1"/>
    <col min="6662" max="6678" width="9.140625" style="554" customWidth="1"/>
    <col min="6679" max="6912" width="11.42578125" style="554" customWidth="1"/>
    <col min="6913" max="6913" width="5.42578125" style="554" customWidth="1"/>
    <col min="6914" max="6914" width="59.42578125" style="554" customWidth="1"/>
    <col min="6915" max="6915" width="14.28515625" style="554" customWidth="1"/>
    <col min="6916" max="6916" width="1.7109375" style="554" customWidth="1"/>
    <col min="6917" max="6917" width="14.28515625" style="554" customWidth="1"/>
    <col min="6918" max="6934" width="9.140625" style="554" customWidth="1"/>
    <col min="6935" max="7168" width="11.42578125" style="554" customWidth="1"/>
    <col min="7169" max="7169" width="5.42578125" style="554" customWidth="1"/>
    <col min="7170" max="7170" width="59.42578125" style="554" customWidth="1"/>
    <col min="7171" max="7171" width="14.28515625" style="554" customWidth="1"/>
    <col min="7172" max="7172" width="1.7109375" style="554" customWidth="1"/>
    <col min="7173" max="7173" width="14.28515625" style="554" customWidth="1"/>
    <col min="7174" max="7190" width="9.140625" style="554" customWidth="1"/>
    <col min="7191" max="7424" width="11.42578125" style="554" customWidth="1"/>
    <col min="7425" max="7425" width="5.42578125" style="554" customWidth="1"/>
    <col min="7426" max="7426" width="59.42578125" style="554" customWidth="1"/>
    <col min="7427" max="7427" width="14.28515625" style="554" customWidth="1"/>
    <col min="7428" max="7428" width="1.7109375" style="554" customWidth="1"/>
    <col min="7429" max="7429" width="14.28515625" style="554" customWidth="1"/>
    <col min="7430" max="7446" width="9.140625" style="554" customWidth="1"/>
    <col min="7447" max="7680" width="11.42578125" style="554" customWidth="1"/>
    <col min="7681" max="7681" width="5.42578125" style="554" customWidth="1"/>
    <col min="7682" max="7682" width="59.42578125" style="554" customWidth="1"/>
    <col min="7683" max="7683" width="14.28515625" style="554" customWidth="1"/>
    <col min="7684" max="7684" width="1.7109375" style="554" customWidth="1"/>
    <col min="7685" max="7685" width="14.28515625" style="554" customWidth="1"/>
    <col min="7686" max="7702" width="9.140625" style="554" customWidth="1"/>
    <col min="7703" max="7936" width="11.42578125" style="554" customWidth="1"/>
    <col min="7937" max="7937" width="5.42578125" style="554" customWidth="1"/>
    <col min="7938" max="7938" width="59.42578125" style="554" customWidth="1"/>
    <col min="7939" max="7939" width="14.28515625" style="554" customWidth="1"/>
    <col min="7940" max="7940" width="1.7109375" style="554" customWidth="1"/>
    <col min="7941" max="7941" width="14.28515625" style="554" customWidth="1"/>
    <col min="7942" max="7958" width="9.140625" style="554" customWidth="1"/>
    <col min="7959" max="8192" width="11.42578125" style="554" customWidth="1"/>
    <col min="8193" max="8193" width="5.42578125" style="554" customWidth="1"/>
    <col min="8194" max="8194" width="59.42578125" style="554" customWidth="1"/>
    <col min="8195" max="8195" width="14.28515625" style="554" customWidth="1"/>
    <col min="8196" max="8196" width="1.7109375" style="554" customWidth="1"/>
    <col min="8197" max="8197" width="14.28515625" style="554" customWidth="1"/>
    <col min="8198" max="8214" width="9.140625" style="554" customWidth="1"/>
    <col min="8215" max="8448" width="11.42578125" style="554" customWidth="1"/>
    <col min="8449" max="8449" width="5.42578125" style="554" customWidth="1"/>
    <col min="8450" max="8450" width="59.42578125" style="554" customWidth="1"/>
    <col min="8451" max="8451" width="14.28515625" style="554" customWidth="1"/>
    <col min="8452" max="8452" width="1.7109375" style="554" customWidth="1"/>
    <col min="8453" max="8453" width="14.28515625" style="554" customWidth="1"/>
    <col min="8454" max="8470" width="9.140625" style="554" customWidth="1"/>
    <col min="8471" max="8704" width="11.42578125" style="554" customWidth="1"/>
    <col min="8705" max="8705" width="5.42578125" style="554" customWidth="1"/>
    <col min="8706" max="8706" width="59.42578125" style="554" customWidth="1"/>
    <col min="8707" max="8707" width="14.28515625" style="554" customWidth="1"/>
    <col min="8708" max="8708" width="1.7109375" style="554" customWidth="1"/>
    <col min="8709" max="8709" width="14.28515625" style="554" customWidth="1"/>
    <col min="8710" max="8726" width="9.140625" style="554" customWidth="1"/>
    <col min="8727" max="8960" width="11.42578125" style="554" customWidth="1"/>
    <col min="8961" max="8961" width="5.42578125" style="554" customWidth="1"/>
    <col min="8962" max="8962" width="59.42578125" style="554" customWidth="1"/>
    <col min="8963" max="8963" width="14.28515625" style="554" customWidth="1"/>
    <col min="8964" max="8964" width="1.7109375" style="554" customWidth="1"/>
    <col min="8965" max="8965" width="14.28515625" style="554" customWidth="1"/>
    <col min="8966" max="8982" width="9.140625" style="554" customWidth="1"/>
    <col min="8983" max="9216" width="11.42578125" style="554" customWidth="1"/>
    <col min="9217" max="9217" width="5.42578125" style="554" customWidth="1"/>
    <col min="9218" max="9218" width="59.42578125" style="554" customWidth="1"/>
    <col min="9219" max="9219" width="14.28515625" style="554" customWidth="1"/>
    <col min="9220" max="9220" width="1.7109375" style="554" customWidth="1"/>
    <col min="9221" max="9221" width="14.28515625" style="554" customWidth="1"/>
    <col min="9222" max="9238" width="9.140625" style="554" customWidth="1"/>
    <col min="9239" max="9472" width="11.42578125" style="554" customWidth="1"/>
    <col min="9473" max="9473" width="5.42578125" style="554" customWidth="1"/>
    <col min="9474" max="9474" width="59.42578125" style="554" customWidth="1"/>
    <col min="9475" max="9475" width="14.28515625" style="554" customWidth="1"/>
    <col min="9476" max="9476" width="1.7109375" style="554" customWidth="1"/>
    <col min="9477" max="9477" width="14.28515625" style="554" customWidth="1"/>
    <col min="9478" max="9494" width="9.140625" style="554" customWidth="1"/>
    <col min="9495" max="9728" width="11.42578125" style="554" customWidth="1"/>
    <col min="9729" max="9729" width="5.42578125" style="554" customWidth="1"/>
    <col min="9730" max="9730" width="59.42578125" style="554" customWidth="1"/>
    <col min="9731" max="9731" width="14.28515625" style="554" customWidth="1"/>
    <col min="9732" max="9732" width="1.7109375" style="554" customWidth="1"/>
    <col min="9733" max="9733" width="14.28515625" style="554" customWidth="1"/>
    <col min="9734" max="9750" width="9.140625" style="554" customWidth="1"/>
    <col min="9751" max="9984" width="11.42578125" style="554" customWidth="1"/>
    <col min="9985" max="9985" width="5.42578125" style="554" customWidth="1"/>
    <col min="9986" max="9986" width="59.42578125" style="554" customWidth="1"/>
    <col min="9987" max="9987" width="14.28515625" style="554" customWidth="1"/>
    <col min="9988" max="9988" width="1.7109375" style="554" customWidth="1"/>
    <col min="9989" max="9989" width="14.28515625" style="554" customWidth="1"/>
    <col min="9990" max="10006" width="9.140625" style="554" customWidth="1"/>
    <col min="10007" max="10240" width="11.42578125" style="554" customWidth="1"/>
    <col min="10241" max="10241" width="5.42578125" style="554" customWidth="1"/>
    <col min="10242" max="10242" width="59.42578125" style="554" customWidth="1"/>
    <col min="10243" max="10243" width="14.28515625" style="554" customWidth="1"/>
    <col min="10244" max="10244" width="1.7109375" style="554" customWidth="1"/>
    <col min="10245" max="10245" width="14.28515625" style="554" customWidth="1"/>
    <col min="10246" max="10262" width="9.140625" style="554" customWidth="1"/>
    <col min="10263" max="10496" width="11.42578125" style="554" customWidth="1"/>
    <col min="10497" max="10497" width="5.42578125" style="554" customWidth="1"/>
    <col min="10498" max="10498" width="59.42578125" style="554" customWidth="1"/>
    <col min="10499" max="10499" width="14.28515625" style="554" customWidth="1"/>
    <col min="10500" max="10500" width="1.7109375" style="554" customWidth="1"/>
    <col min="10501" max="10501" width="14.28515625" style="554" customWidth="1"/>
    <col min="10502" max="10518" width="9.140625" style="554" customWidth="1"/>
    <col min="10519" max="10752" width="11.42578125" style="554" customWidth="1"/>
    <col min="10753" max="10753" width="5.42578125" style="554" customWidth="1"/>
    <col min="10754" max="10754" width="59.42578125" style="554" customWidth="1"/>
    <col min="10755" max="10755" width="14.28515625" style="554" customWidth="1"/>
    <col min="10756" max="10756" width="1.7109375" style="554" customWidth="1"/>
    <col min="10757" max="10757" width="14.28515625" style="554" customWidth="1"/>
    <col min="10758" max="10774" width="9.140625" style="554" customWidth="1"/>
    <col min="10775" max="11008" width="11.42578125" style="554" customWidth="1"/>
    <col min="11009" max="11009" width="5.42578125" style="554" customWidth="1"/>
    <col min="11010" max="11010" width="59.42578125" style="554" customWidth="1"/>
    <col min="11011" max="11011" width="14.28515625" style="554" customWidth="1"/>
    <col min="11012" max="11012" width="1.7109375" style="554" customWidth="1"/>
    <col min="11013" max="11013" width="14.28515625" style="554" customWidth="1"/>
    <col min="11014" max="11030" width="9.140625" style="554" customWidth="1"/>
    <col min="11031" max="11264" width="11.42578125" style="554" customWidth="1"/>
    <col min="11265" max="11265" width="5.42578125" style="554" customWidth="1"/>
    <col min="11266" max="11266" width="59.42578125" style="554" customWidth="1"/>
    <col min="11267" max="11267" width="14.28515625" style="554" customWidth="1"/>
    <col min="11268" max="11268" width="1.7109375" style="554" customWidth="1"/>
    <col min="11269" max="11269" width="14.28515625" style="554" customWidth="1"/>
    <col min="11270" max="11286" width="9.140625" style="554" customWidth="1"/>
    <col min="11287" max="11520" width="11.42578125" style="554" customWidth="1"/>
    <col min="11521" max="11521" width="5.42578125" style="554" customWidth="1"/>
    <col min="11522" max="11522" width="59.42578125" style="554" customWidth="1"/>
    <col min="11523" max="11523" width="14.28515625" style="554" customWidth="1"/>
    <col min="11524" max="11524" width="1.7109375" style="554" customWidth="1"/>
    <col min="11525" max="11525" width="14.28515625" style="554" customWidth="1"/>
    <col min="11526" max="11542" width="9.140625" style="554" customWidth="1"/>
    <col min="11543" max="11776" width="11.42578125" style="554" customWidth="1"/>
    <col min="11777" max="11777" width="5.42578125" style="554" customWidth="1"/>
    <col min="11778" max="11778" width="59.42578125" style="554" customWidth="1"/>
    <col min="11779" max="11779" width="14.28515625" style="554" customWidth="1"/>
    <col min="11780" max="11780" width="1.7109375" style="554" customWidth="1"/>
    <col min="11781" max="11781" width="14.28515625" style="554" customWidth="1"/>
    <col min="11782" max="11798" width="9.140625" style="554" customWidth="1"/>
    <col min="11799" max="12032" width="11.42578125" style="554" customWidth="1"/>
    <col min="12033" max="12033" width="5.42578125" style="554" customWidth="1"/>
    <col min="12034" max="12034" width="59.42578125" style="554" customWidth="1"/>
    <col min="12035" max="12035" width="14.28515625" style="554" customWidth="1"/>
    <col min="12036" max="12036" width="1.7109375" style="554" customWidth="1"/>
    <col min="12037" max="12037" width="14.28515625" style="554" customWidth="1"/>
    <col min="12038" max="12054" width="9.140625" style="554" customWidth="1"/>
    <col min="12055" max="12288" width="11.42578125" style="554" customWidth="1"/>
    <col min="12289" max="12289" width="5.42578125" style="554" customWidth="1"/>
    <col min="12290" max="12290" width="59.42578125" style="554" customWidth="1"/>
    <col min="12291" max="12291" width="14.28515625" style="554" customWidth="1"/>
    <col min="12292" max="12292" width="1.7109375" style="554" customWidth="1"/>
    <col min="12293" max="12293" width="14.28515625" style="554" customWidth="1"/>
    <col min="12294" max="12310" width="9.140625" style="554" customWidth="1"/>
    <col min="12311" max="12544" width="11.42578125" style="554" customWidth="1"/>
    <col min="12545" max="12545" width="5.42578125" style="554" customWidth="1"/>
    <col min="12546" max="12546" width="59.42578125" style="554" customWidth="1"/>
    <col min="12547" max="12547" width="14.28515625" style="554" customWidth="1"/>
    <col min="12548" max="12548" width="1.7109375" style="554" customWidth="1"/>
    <col min="12549" max="12549" width="14.28515625" style="554" customWidth="1"/>
    <col min="12550" max="12566" width="9.140625" style="554" customWidth="1"/>
    <col min="12567" max="12800" width="11.42578125" style="554" customWidth="1"/>
    <col min="12801" max="12801" width="5.42578125" style="554" customWidth="1"/>
    <col min="12802" max="12802" width="59.42578125" style="554" customWidth="1"/>
    <col min="12803" max="12803" width="14.28515625" style="554" customWidth="1"/>
    <col min="12804" max="12804" width="1.7109375" style="554" customWidth="1"/>
    <col min="12805" max="12805" width="14.28515625" style="554" customWidth="1"/>
    <col min="12806" max="12822" width="9.140625" style="554" customWidth="1"/>
    <col min="12823" max="13056" width="11.42578125" style="554" customWidth="1"/>
    <col min="13057" max="13057" width="5.42578125" style="554" customWidth="1"/>
    <col min="13058" max="13058" width="59.42578125" style="554" customWidth="1"/>
    <col min="13059" max="13059" width="14.28515625" style="554" customWidth="1"/>
    <col min="13060" max="13060" width="1.7109375" style="554" customWidth="1"/>
    <col min="13061" max="13061" width="14.28515625" style="554" customWidth="1"/>
    <col min="13062" max="13078" width="9.140625" style="554" customWidth="1"/>
    <col min="13079" max="13312" width="11.42578125" style="554" customWidth="1"/>
    <col min="13313" max="13313" width="5.42578125" style="554" customWidth="1"/>
    <col min="13314" max="13314" width="59.42578125" style="554" customWidth="1"/>
    <col min="13315" max="13315" width="14.28515625" style="554" customWidth="1"/>
    <col min="13316" max="13316" width="1.7109375" style="554" customWidth="1"/>
    <col min="13317" max="13317" width="14.28515625" style="554" customWidth="1"/>
    <col min="13318" max="13334" width="9.140625" style="554" customWidth="1"/>
    <col min="13335" max="13568" width="11.42578125" style="554" customWidth="1"/>
    <col min="13569" max="13569" width="5.42578125" style="554" customWidth="1"/>
    <col min="13570" max="13570" width="59.42578125" style="554" customWidth="1"/>
    <col min="13571" max="13571" width="14.28515625" style="554" customWidth="1"/>
    <col min="13572" max="13572" width="1.7109375" style="554" customWidth="1"/>
    <col min="13573" max="13573" width="14.28515625" style="554" customWidth="1"/>
    <col min="13574" max="13590" width="9.140625" style="554" customWidth="1"/>
    <col min="13591" max="13824" width="11.42578125" style="554" customWidth="1"/>
    <col min="13825" max="13825" width="5.42578125" style="554" customWidth="1"/>
    <col min="13826" max="13826" width="59.42578125" style="554" customWidth="1"/>
    <col min="13827" max="13827" width="14.28515625" style="554" customWidth="1"/>
    <col min="13828" max="13828" width="1.7109375" style="554" customWidth="1"/>
    <col min="13829" max="13829" width="14.28515625" style="554" customWidth="1"/>
    <col min="13830" max="13846" width="9.140625" style="554" customWidth="1"/>
    <col min="13847" max="14080" width="11.42578125" style="554" customWidth="1"/>
    <col min="14081" max="14081" width="5.42578125" style="554" customWidth="1"/>
    <col min="14082" max="14082" width="59.42578125" style="554" customWidth="1"/>
    <col min="14083" max="14083" width="14.28515625" style="554" customWidth="1"/>
    <col min="14084" max="14084" width="1.7109375" style="554" customWidth="1"/>
    <col min="14085" max="14085" width="14.28515625" style="554" customWidth="1"/>
    <col min="14086" max="14102" width="9.140625" style="554" customWidth="1"/>
    <col min="14103" max="14336" width="11.42578125" style="554" customWidth="1"/>
    <col min="14337" max="14337" width="5.42578125" style="554" customWidth="1"/>
    <col min="14338" max="14338" width="59.42578125" style="554" customWidth="1"/>
    <col min="14339" max="14339" width="14.28515625" style="554" customWidth="1"/>
    <col min="14340" max="14340" width="1.7109375" style="554" customWidth="1"/>
    <col min="14341" max="14341" width="14.28515625" style="554" customWidth="1"/>
    <col min="14342" max="14358" width="9.140625" style="554" customWidth="1"/>
    <col min="14359" max="14592" width="11.42578125" style="554" customWidth="1"/>
    <col min="14593" max="14593" width="5.42578125" style="554" customWidth="1"/>
    <col min="14594" max="14594" width="59.42578125" style="554" customWidth="1"/>
    <col min="14595" max="14595" width="14.28515625" style="554" customWidth="1"/>
    <col min="14596" max="14596" width="1.7109375" style="554" customWidth="1"/>
    <col min="14597" max="14597" width="14.28515625" style="554" customWidth="1"/>
    <col min="14598" max="14614" width="9.140625" style="554" customWidth="1"/>
    <col min="14615" max="14848" width="11.42578125" style="554" customWidth="1"/>
    <col min="14849" max="14849" width="5.42578125" style="554" customWidth="1"/>
    <col min="14850" max="14850" width="59.42578125" style="554" customWidth="1"/>
    <col min="14851" max="14851" width="14.28515625" style="554" customWidth="1"/>
    <col min="14852" max="14852" width="1.7109375" style="554" customWidth="1"/>
    <col min="14853" max="14853" width="14.28515625" style="554" customWidth="1"/>
    <col min="14854" max="14870" width="9.140625" style="554" customWidth="1"/>
    <col min="14871" max="15104" width="11.42578125" style="554" customWidth="1"/>
    <col min="15105" max="15105" width="5.42578125" style="554" customWidth="1"/>
    <col min="15106" max="15106" width="59.42578125" style="554" customWidth="1"/>
    <col min="15107" max="15107" width="14.28515625" style="554" customWidth="1"/>
    <col min="15108" max="15108" width="1.7109375" style="554" customWidth="1"/>
    <col min="15109" max="15109" width="14.28515625" style="554" customWidth="1"/>
    <col min="15110" max="15126" width="9.140625" style="554" customWidth="1"/>
    <col min="15127" max="15360" width="11.42578125" style="554" customWidth="1"/>
    <col min="15361" max="15361" width="5.42578125" style="554" customWidth="1"/>
    <col min="15362" max="15362" width="59.42578125" style="554" customWidth="1"/>
    <col min="15363" max="15363" width="14.28515625" style="554" customWidth="1"/>
    <col min="15364" max="15364" width="1.7109375" style="554" customWidth="1"/>
    <col min="15365" max="15365" width="14.28515625" style="554" customWidth="1"/>
    <col min="15366" max="15382" width="9.140625" style="554" customWidth="1"/>
    <col min="15383" max="15616" width="11.42578125" style="554" customWidth="1"/>
    <col min="15617" max="15617" width="5.42578125" style="554" customWidth="1"/>
    <col min="15618" max="15618" width="59.42578125" style="554" customWidth="1"/>
    <col min="15619" max="15619" width="14.28515625" style="554" customWidth="1"/>
    <col min="15620" max="15620" width="1.7109375" style="554" customWidth="1"/>
    <col min="15621" max="15621" width="14.28515625" style="554" customWidth="1"/>
    <col min="15622" max="15638" width="9.140625" style="554" customWidth="1"/>
    <col min="15639" max="15872" width="11.42578125" style="554" customWidth="1"/>
    <col min="15873" max="15873" width="5.42578125" style="554" customWidth="1"/>
    <col min="15874" max="15874" width="59.42578125" style="554" customWidth="1"/>
    <col min="15875" max="15875" width="14.28515625" style="554" customWidth="1"/>
    <col min="15876" max="15876" width="1.7109375" style="554" customWidth="1"/>
    <col min="15877" max="15877" width="14.28515625" style="554" customWidth="1"/>
    <col min="15878" max="15894" width="9.140625" style="554" customWidth="1"/>
    <col min="15895" max="16128" width="11.42578125" style="554" customWidth="1"/>
    <col min="16129" max="16129" width="5.42578125" style="554" customWidth="1"/>
    <col min="16130" max="16130" width="59.42578125" style="554" customWidth="1"/>
    <col min="16131" max="16131" width="14.28515625" style="554" customWidth="1"/>
    <col min="16132" max="16132" width="1.7109375" style="554" customWidth="1"/>
    <col min="16133" max="16133" width="14.28515625" style="554" customWidth="1"/>
    <col min="16134" max="16150" width="9.140625" style="554" customWidth="1"/>
    <col min="16151" max="16384" width="11.42578125" style="554" customWidth="1"/>
  </cols>
  <sheetData>
    <row r="1" spans="1:5" s="550" customFormat="1" x14ac:dyDescent="0.2">
      <c r="A1" s="685" t="s">
        <v>413</v>
      </c>
      <c r="B1" s="687" t="s">
        <v>412</v>
      </c>
      <c r="C1" s="549"/>
    </row>
    <row r="2" spans="1:5" s="550" customFormat="1" x14ac:dyDescent="0.2">
      <c r="B2" s="548" t="s">
        <v>306</v>
      </c>
    </row>
    <row r="3" spans="1:5" s="550" customFormat="1" ht="3.95" customHeight="1" x14ac:dyDescent="0.2">
      <c r="B3" s="548"/>
    </row>
    <row r="4" spans="1:5" s="550" customFormat="1" ht="12.75" customHeight="1" x14ac:dyDescent="0.2">
      <c r="C4" s="875" t="s">
        <v>404</v>
      </c>
      <c r="D4" s="875"/>
      <c r="E4" s="875"/>
    </row>
    <row r="5" spans="1:5" ht="12.75" customHeight="1" x14ac:dyDescent="0.2">
      <c r="B5" s="551"/>
      <c r="C5" s="552"/>
      <c r="D5" s="553"/>
      <c r="E5" s="552" t="s">
        <v>333</v>
      </c>
    </row>
    <row r="6" spans="1:5" ht="12.75" customHeight="1" x14ac:dyDescent="0.2">
      <c r="B6" s="551"/>
      <c r="C6" s="552">
        <v>2014</v>
      </c>
      <c r="D6" s="553"/>
      <c r="E6" s="552">
        <v>2013</v>
      </c>
    </row>
    <row r="7" spans="1:5" ht="12.75" customHeight="1" x14ac:dyDescent="0.2">
      <c r="B7" s="555"/>
      <c r="C7" s="556" t="s">
        <v>14</v>
      </c>
      <c r="D7" s="557"/>
      <c r="E7" s="556" t="s">
        <v>14</v>
      </c>
    </row>
    <row r="8" spans="1:5" ht="3.95" customHeight="1" x14ac:dyDescent="0.2">
      <c r="B8" s="558"/>
      <c r="C8" s="559"/>
      <c r="E8" s="326"/>
    </row>
    <row r="9" spans="1:5" s="567" customFormat="1" ht="12.75" customHeight="1" x14ac:dyDescent="0.2">
      <c r="B9" s="564" t="s">
        <v>479</v>
      </c>
      <c r="C9" s="803">
        <v>59420</v>
      </c>
      <c r="D9" s="565"/>
      <c r="E9" s="804">
        <v>657</v>
      </c>
    </row>
    <row r="10" spans="1:5" ht="12.75" customHeight="1" x14ac:dyDescent="0.2">
      <c r="B10" s="558"/>
      <c r="C10" s="184"/>
      <c r="D10" s="560"/>
      <c r="E10" s="561"/>
    </row>
    <row r="11" spans="1:5" ht="12.75" customHeight="1" x14ac:dyDescent="0.2">
      <c r="B11" s="558" t="s">
        <v>480</v>
      </c>
      <c r="C11" s="184"/>
      <c r="D11" s="560"/>
      <c r="E11" s="561"/>
    </row>
    <row r="12" spans="1:5" ht="12.75" customHeight="1" x14ac:dyDescent="0.2">
      <c r="B12" s="805" t="s">
        <v>481</v>
      </c>
      <c r="C12" s="184"/>
      <c r="D12" s="560"/>
      <c r="E12" s="561"/>
    </row>
    <row r="13" spans="1:5" ht="12.75" customHeight="1" x14ac:dyDescent="0.2">
      <c r="B13" s="558" t="s">
        <v>330</v>
      </c>
      <c r="C13" s="184">
        <v>-119</v>
      </c>
      <c r="D13" s="560"/>
      <c r="E13" s="561">
        <v>-73</v>
      </c>
    </row>
    <row r="14" spans="1:5" ht="12.75" customHeight="1" x14ac:dyDescent="0.2">
      <c r="B14" s="558" t="s">
        <v>331</v>
      </c>
      <c r="C14" s="184">
        <v>-4104</v>
      </c>
      <c r="D14" s="560"/>
      <c r="E14" s="561">
        <v>362</v>
      </c>
    </row>
    <row r="15" spans="1:5" ht="12.75" customHeight="1" x14ac:dyDescent="0.2">
      <c r="B15" s="558" t="s">
        <v>502</v>
      </c>
      <c r="C15" s="184">
        <v>1493</v>
      </c>
      <c r="D15" s="560"/>
      <c r="E15" s="561">
        <v>1</v>
      </c>
    </row>
    <row r="16" spans="1:5" ht="12.75" customHeight="1" x14ac:dyDescent="0.2">
      <c r="B16" s="558" t="s">
        <v>486</v>
      </c>
      <c r="C16" s="184">
        <v>-25</v>
      </c>
      <c r="D16" s="560"/>
      <c r="E16" s="561">
        <v>-12</v>
      </c>
    </row>
    <row r="17" spans="2:5" ht="12.75" customHeight="1" x14ac:dyDescent="0.2">
      <c r="B17" s="562" t="s">
        <v>332</v>
      </c>
      <c r="C17" s="806">
        <v>0</v>
      </c>
      <c r="D17" s="563"/>
      <c r="E17" s="807">
        <v>-4</v>
      </c>
    </row>
    <row r="18" spans="2:5" s="567" customFormat="1" ht="12.75" customHeight="1" x14ac:dyDescent="0.2">
      <c r="B18" s="564" t="s">
        <v>485</v>
      </c>
      <c r="C18" s="803">
        <f>SUM(C12:C17)</f>
        <v>-2755</v>
      </c>
      <c r="D18" s="565"/>
      <c r="E18" s="804">
        <f>SUM(E12:E17)</f>
        <v>274</v>
      </c>
    </row>
    <row r="19" spans="2:5" ht="12.75" customHeight="1" x14ac:dyDescent="0.2">
      <c r="B19" s="805" t="s">
        <v>482</v>
      </c>
      <c r="C19" s="184"/>
      <c r="D19" s="560"/>
      <c r="E19" s="561"/>
    </row>
    <row r="20" spans="2:5" ht="12.75" customHeight="1" x14ac:dyDescent="0.2">
      <c r="B20" s="562" t="s">
        <v>483</v>
      </c>
      <c r="C20" s="806">
        <v>37</v>
      </c>
      <c r="D20" s="563"/>
      <c r="E20" s="807">
        <v>-182</v>
      </c>
    </row>
    <row r="21" spans="2:5" ht="12.75" customHeight="1" x14ac:dyDescent="0.2">
      <c r="B21" s="558" t="s">
        <v>484</v>
      </c>
      <c r="C21" s="803">
        <f>SUM(C20)</f>
        <v>37</v>
      </c>
      <c r="D21" s="560"/>
      <c r="E21" s="561">
        <f>SUM(E20)</f>
        <v>-182</v>
      </c>
    </row>
    <row r="22" spans="2:5" s="567" customFormat="1" ht="12.75" customHeight="1" x14ac:dyDescent="0.2">
      <c r="B22" s="564" t="s">
        <v>503</v>
      </c>
      <c r="C22" s="803">
        <f>+C21+C18</f>
        <v>-2718</v>
      </c>
      <c r="D22" s="565"/>
      <c r="E22" s="804">
        <f>+E21+E18</f>
        <v>92</v>
      </c>
    </row>
    <row r="23" spans="2:5" s="567" customFormat="1" ht="13.5" customHeight="1" thickBot="1" x14ac:dyDescent="0.25">
      <c r="B23" s="570" t="s">
        <v>504</v>
      </c>
      <c r="C23" s="571">
        <f>+C22+C9</f>
        <v>56702</v>
      </c>
      <c r="D23" s="572"/>
      <c r="E23" s="573">
        <f>+E22+E9</f>
        <v>749</v>
      </c>
    </row>
    <row r="24" spans="2:5" ht="12.75" customHeight="1" x14ac:dyDescent="0.2">
      <c r="B24" s="558"/>
      <c r="C24" s="184"/>
      <c r="D24" s="560"/>
      <c r="E24" s="561"/>
    </row>
    <row r="25" spans="2:5" ht="12.75" customHeight="1" x14ac:dyDescent="0.2">
      <c r="B25" s="558" t="s">
        <v>322</v>
      </c>
      <c r="C25" s="184"/>
      <c r="D25" s="560"/>
      <c r="E25" s="561"/>
    </row>
    <row r="26" spans="2:5" ht="12.75" customHeight="1" x14ac:dyDescent="0.2">
      <c r="B26" s="558" t="s">
        <v>323</v>
      </c>
      <c r="C26" s="184">
        <v>56711</v>
      </c>
      <c r="D26" s="560"/>
      <c r="E26" s="561">
        <v>604</v>
      </c>
    </row>
    <row r="27" spans="2:5" ht="12.75" customHeight="1" x14ac:dyDescent="0.2">
      <c r="B27" s="558" t="s">
        <v>324</v>
      </c>
      <c r="C27" s="184">
        <v>-9</v>
      </c>
      <c r="D27" s="560"/>
      <c r="E27" s="561">
        <v>145</v>
      </c>
    </row>
    <row r="28" spans="2:5" s="567" customFormat="1" ht="13.5" customHeight="1" thickBot="1" x14ac:dyDescent="0.25">
      <c r="B28" s="570"/>
      <c r="C28" s="571">
        <f>SUM(C26:C27)</f>
        <v>56702</v>
      </c>
      <c r="D28" s="572"/>
      <c r="E28" s="573">
        <f>SUM(E26:E27)</f>
        <v>749</v>
      </c>
    </row>
  </sheetData>
  <sheetProtection formatCells="0" formatColumns="0" formatRows="0" sort="0" autoFilter="0" pivotTables="0"/>
  <mergeCells count="1">
    <mergeCell ref="C4:E4"/>
  </mergeCells>
  <hyperlinks>
    <hyperlink ref="A1" location="'FY 14 Financial statements'!A1" display="Back"/>
  </hyperlinks>
  <pageMargins left="0.75" right="0.75" top="1" bottom="1" header="0.5" footer="0.5"/>
  <pageSetup scale="94" orientation="portrait" horizontalDpi="300" verticalDpi="300"/>
  <headerFooter alignWithMargins="0">
    <oddHeader>&amp;L&amp;"Vodafone Rg,Regular"Vodafone Group Plc</oddHeader>
  </headerFooter>
  <colBreaks count="1" manualBreakCount="1">
    <brk id="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showGridLines="0" topLeftCell="A4" workbookViewId="0">
      <selection activeCell="B25" sqref="B25"/>
    </sheetView>
  </sheetViews>
  <sheetFormatPr defaultRowHeight="12.75" x14ac:dyDescent="0.2"/>
  <cols>
    <col min="1" max="1" width="6" style="554" customWidth="1"/>
    <col min="2" max="2" width="57.140625" style="554" customWidth="1"/>
    <col min="3" max="3" width="9.7109375" style="554" customWidth="1"/>
    <col min="4" max="4" width="14.28515625" style="554" customWidth="1"/>
    <col min="5" max="5" width="1.7109375" style="577" customWidth="1"/>
    <col min="6" max="6" width="14.28515625" style="554" customWidth="1"/>
    <col min="7" max="18" width="9.140625" style="554" customWidth="1"/>
    <col min="19" max="19" width="9.140625" customWidth="1"/>
    <col min="20" max="20" width="9.140625" style="554" customWidth="1"/>
    <col min="21" max="257" width="11.42578125" style="554" customWidth="1"/>
    <col min="258" max="258" width="57.140625" style="554" customWidth="1"/>
    <col min="259" max="259" width="9.7109375" style="554" customWidth="1"/>
    <col min="260" max="260" width="14.28515625" style="554" customWidth="1"/>
    <col min="261" max="261" width="1.7109375" style="554" customWidth="1"/>
    <col min="262" max="262" width="14.28515625" style="554" customWidth="1"/>
    <col min="263" max="276" width="9.140625" style="554" customWidth="1"/>
    <col min="277" max="513" width="11.42578125" style="554" customWidth="1"/>
    <col min="514" max="514" width="57.140625" style="554" customWidth="1"/>
    <col min="515" max="515" width="9.7109375" style="554" customWidth="1"/>
    <col min="516" max="516" width="14.28515625" style="554" customWidth="1"/>
    <col min="517" max="517" width="1.7109375" style="554" customWidth="1"/>
    <col min="518" max="518" width="14.28515625" style="554" customWidth="1"/>
    <col min="519" max="532" width="9.140625" style="554" customWidth="1"/>
    <col min="533" max="769" width="11.42578125" style="554" customWidth="1"/>
    <col min="770" max="770" width="57.140625" style="554" customWidth="1"/>
    <col min="771" max="771" width="9.7109375" style="554" customWidth="1"/>
    <col min="772" max="772" width="14.28515625" style="554" customWidth="1"/>
    <col min="773" max="773" width="1.7109375" style="554" customWidth="1"/>
    <col min="774" max="774" width="14.28515625" style="554" customWidth="1"/>
    <col min="775" max="788" width="9.140625" style="554" customWidth="1"/>
    <col min="789" max="1025" width="11.42578125" style="554" customWidth="1"/>
    <col min="1026" max="1026" width="57.140625" style="554" customWidth="1"/>
    <col min="1027" max="1027" width="9.7109375" style="554" customWidth="1"/>
    <col min="1028" max="1028" width="14.28515625" style="554" customWidth="1"/>
    <col min="1029" max="1029" width="1.7109375" style="554" customWidth="1"/>
    <col min="1030" max="1030" width="14.28515625" style="554" customWidth="1"/>
    <col min="1031" max="1044" width="9.140625" style="554" customWidth="1"/>
    <col min="1045" max="1281" width="11.42578125" style="554" customWidth="1"/>
    <col min="1282" max="1282" width="57.140625" style="554" customWidth="1"/>
    <col min="1283" max="1283" width="9.7109375" style="554" customWidth="1"/>
    <col min="1284" max="1284" width="14.28515625" style="554" customWidth="1"/>
    <col min="1285" max="1285" width="1.7109375" style="554" customWidth="1"/>
    <col min="1286" max="1286" width="14.28515625" style="554" customWidth="1"/>
    <col min="1287" max="1300" width="9.140625" style="554" customWidth="1"/>
    <col min="1301" max="1537" width="11.42578125" style="554" customWidth="1"/>
    <col min="1538" max="1538" width="57.140625" style="554" customWidth="1"/>
    <col min="1539" max="1539" width="9.7109375" style="554" customWidth="1"/>
    <col min="1540" max="1540" width="14.28515625" style="554" customWidth="1"/>
    <col min="1541" max="1541" width="1.7109375" style="554" customWidth="1"/>
    <col min="1542" max="1542" width="14.28515625" style="554" customWidth="1"/>
    <col min="1543" max="1556" width="9.140625" style="554" customWidth="1"/>
    <col min="1557" max="1793" width="11.42578125" style="554" customWidth="1"/>
    <col min="1794" max="1794" width="57.140625" style="554" customWidth="1"/>
    <col min="1795" max="1795" width="9.7109375" style="554" customWidth="1"/>
    <col min="1796" max="1796" width="14.28515625" style="554" customWidth="1"/>
    <col min="1797" max="1797" width="1.7109375" style="554" customWidth="1"/>
    <col min="1798" max="1798" width="14.28515625" style="554" customWidth="1"/>
    <col min="1799" max="1812" width="9.140625" style="554" customWidth="1"/>
    <col min="1813" max="2049" width="11.42578125" style="554" customWidth="1"/>
    <col min="2050" max="2050" width="57.140625" style="554" customWidth="1"/>
    <col min="2051" max="2051" width="9.7109375" style="554" customWidth="1"/>
    <col min="2052" max="2052" width="14.28515625" style="554" customWidth="1"/>
    <col min="2053" max="2053" width="1.7109375" style="554" customWidth="1"/>
    <col min="2054" max="2054" width="14.28515625" style="554" customWidth="1"/>
    <col min="2055" max="2068" width="9.140625" style="554" customWidth="1"/>
    <col min="2069" max="2305" width="11.42578125" style="554" customWidth="1"/>
    <col min="2306" max="2306" width="57.140625" style="554" customWidth="1"/>
    <col min="2307" max="2307" width="9.7109375" style="554" customWidth="1"/>
    <col min="2308" max="2308" width="14.28515625" style="554" customWidth="1"/>
    <col min="2309" max="2309" width="1.7109375" style="554" customWidth="1"/>
    <col min="2310" max="2310" width="14.28515625" style="554" customWidth="1"/>
    <col min="2311" max="2324" width="9.140625" style="554" customWidth="1"/>
    <col min="2325" max="2561" width="11.42578125" style="554" customWidth="1"/>
    <col min="2562" max="2562" width="57.140625" style="554" customWidth="1"/>
    <col min="2563" max="2563" width="9.7109375" style="554" customWidth="1"/>
    <col min="2564" max="2564" width="14.28515625" style="554" customWidth="1"/>
    <col min="2565" max="2565" width="1.7109375" style="554" customWidth="1"/>
    <col min="2566" max="2566" width="14.28515625" style="554" customWidth="1"/>
    <col min="2567" max="2580" width="9.140625" style="554" customWidth="1"/>
    <col min="2581" max="2817" width="11.42578125" style="554" customWidth="1"/>
    <col min="2818" max="2818" width="57.140625" style="554" customWidth="1"/>
    <col min="2819" max="2819" width="9.7109375" style="554" customWidth="1"/>
    <col min="2820" max="2820" width="14.28515625" style="554" customWidth="1"/>
    <col min="2821" max="2821" width="1.7109375" style="554" customWidth="1"/>
    <col min="2822" max="2822" width="14.28515625" style="554" customWidth="1"/>
    <col min="2823" max="2836" width="9.140625" style="554" customWidth="1"/>
    <col min="2837" max="3073" width="11.42578125" style="554" customWidth="1"/>
    <col min="3074" max="3074" width="57.140625" style="554" customWidth="1"/>
    <col min="3075" max="3075" width="9.7109375" style="554" customWidth="1"/>
    <col min="3076" max="3076" width="14.28515625" style="554" customWidth="1"/>
    <col min="3077" max="3077" width="1.7109375" style="554" customWidth="1"/>
    <col min="3078" max="3078" width="14.28515625" style="554" customWidth="1"/>
    <col min="3079" max="3092" width="9.140625" style="554" customWidth="1"/>
    <col min="3093" max="3329" width="11.42578125" style="554" customWidth="1"/>
    <col min="3330" max="3330" width="57.140625" style="554" customWidth="1"/>
    <col min="3331" max="3331" width="9.7109375" style="554" customWidth="1"/>
    <col min="3332" max="3332" width="14.28515625" style="554" customWidth="1"/>
    <col min="3333" max="3333" width="1.7109375" style="554" customWidth="1"/>
    <col min="3334" max="3334" width="14.28515625" style="554" customWidth="1"/>
    <col min="3335" max="3348" width="9.140625" style="554" customWidth="1"/>
    <col min="3349" max="3585" width="11.42578125" style="554" customWidth="1"/>
    <col min="3586" max="3586" width="57.140625" style="554" customWidth="1"/>
    <col min="3587" max="3587" width="9.7109375" style="554" customWidth="1"/>
    <col min="3588" max="3588" width="14.28515625" style="554" customWidth="1"/>
    <col min="3589" max="3589" width="1.7109375" style="554" customWidth="1"/>
    <col min="3590" max="3590" width="14.28515625" style="554" customWidth="1"/>
    <col min="3591" max="3604" width="9.140625" style="554" customWidth="1"/>
    <col min="3605" max="3841" width="11.42578125" style="554" customWidth="1"/>
    <col min="3842" max="3842" width="57.140625" style="554" customWidth="1"/>
    <col min="3843" max="3843" width="9.7109375" style="554" customWidth="1"/>
    <col min="3844" max="3844" width="14.28515625" style="554" customWidth="1"/>
    <col min="3845" max="3845" width="1.7109375" style="554" customWidth="1"/>
    <col min="3846" max="3846" width="14.28515625" style="554" customWidth="1"/>
    <col min="3847" max="3860" width="9.140625" style="554" customWidth="1"/>
    <col min="3861" max="4097" width="11.42578125" style="554" customWidth="1"/>
    <col min="4098" max="4098" width="57.140625" style="554" customWidth="1"/>
    <col min="4099" max="4099" width="9.7109375" style="554" customWidth="1"/>
    <col min="4100" max="4100" width="14.28515625" style="554" customWidth="1"/>
    <col min="4101" max="4101" width="1.7109375" style="554" customWidth="1"/>
    <col min="4102" max="4102" width="14.28515625" style="554" customWidth="1"/>
    <col min="4103" max="4116" width="9.140625" style="554" customWidth="1"/>
    <col min="4117" max="4353" width="11.42578125" style="554" customWidth="1"/>
    <col min="4354" max="4354" width="57.140625" style="554" customWidth="1"/>
    <col min="4355" max="4355" width="9.7109375" style="554" customWidth="1"/>
    <col min="4356" max="4356" width="14.28515625" style="554" customWidth="1"/>
    <col min="4357" max="4357" width="1.7109375" style="554" customWidth="1"/>
    <col min="4358" max="4358" width="14.28515625" style="554" customWidth="1"/>
    <col min="4359" max="4372" width="9.140625" style="554" customWidth="1"/>
    <col min="4373" max="4609" width="11.42578125" style="554" customWidth="1"/>
    <col min="4610" max="4610" width="57.140625" style="554" customWidth="1"/>
    <col min="4611" max="4611" width="9.7109375" style="554" customWidth="1"/>
    <col min="4612" max="4612" width="14.28515625" style="554" customWidth="1"/>
    <col min="4613" max="4613" width="1.7109375" style="554" customWidth="1"/>
    <col min="4614" max="4614" width="14.28515625" style="554" customWidth="1"/>
    <col min="4615" max="4628" width="9.140625" style="554" customWidth="1"/>
    <col min="4629" max="4865" width="11.42578125" style="554" customWidth="1"/>
    <col min="4866" max="4866" width="57.140625" style="554" customWidth="1"/>
    <col min="4867" max="4867" width="9.7109375" style="554" customWidth="1"/>
    <col min="4868" max="4868" width="14.28515625" style="554" customWidth="1"/>
    <col min="4869" max="4869" width="1.7109375" style="554" customWidth="1"/>
    <col min="4870" max="4870" width="14.28515625" style="554" customWidth="1"/>
    <col min="4871" max="4884" width="9.140625" style="554" customWidth="1"/>
    <col min="4885" max="5121" width="11.42578125" style="554" customWidth="1"/>
    <col min="5122" max="5122" width="57.140625" style="554" customWidth="1"/>
    <col min="5123" max="5123" width="9.7109375" style="554" customWidth="1"/>
    <col min="5124" max="5124" width="14.28515625" style="554" customWidth="1"/>
    <col min="5125" max="5125" width="1.7109375" style="554" customWidth="1"/>
    <col min="5126" max="5126" width="14.28515625" style="554" customWidth="1"/>
    <col min="5127" max="5140" width="9.140625" style="554" customWidth="1"/>
    <col min="5141" max="5377" width="11.42578125" style="554" customWidth="1"/>
    <col min="5378" max="5378" width="57.140625" style="554" customWidth="1"/>
    <col min="5379" max="5379" width="9.7109375" style="554" customWidth="1"/>
    <col min="5380" max="5380" width="14.28515625" style="554" customWidth="1"/>
    <col min="5381" max="5381" width="1.7109375" style="554" customWidth="1"/>
    <col min="5382" max="5382" width="14.28515625" style="554" customWidth="1"/>
    <col min="5383" max="5396" width="9.140625" style="554" customWidth="1"/>
    <col min="5397" max="5633" width="11.42578125" style="554" customWidth="1"/>
    <col min="5634" max="5634" width="57.140625" style="554" customWidth="1"/>
    <col min="5635" max="5635" width="9.7109375" style="554" customWidth="1"/>
    <col min="5636" max="5636" width="14.28515625" style="554" customWidth="1"/>
    <col min="5637" max="5637" width="1.7109375" style="554" customWidth="1"/>
    <col min="5638" max="5638" width="14.28515625" style="554" customWidth="1"/>
    <col min="5639" max="5652" width="9.140625" style="554" customWidth="1"/>
    <col min="5653" max="5889" width="11.42578125" style="554" customWidth="1"/>
    <col min="5890" max="5890" width="57.140625" style="554" customWidth="1"/>
    <col min="5891" max="5891" width="9.7109375" style="554" customWidth="1"/>
    <col min="5892" max="5892" width="14.28515625" style="554" customWidth="1"/>
    <col min="5893" max="5893" width="1.7109375" style="554" customWidth="1"/>
    <col min="5894" max="5894" width="14.28515625" style="554" customWidth="1"/>
    <col min="5895" max="5908" width="9.140625" style="554" customWidth="1"/>
    <col min="5909" max="6145" width="11.42578125" style="554" customWidth="1"/>
    <col min="6146" max="6146" width="57.140625" style="554" customWidth="1"/>
    <col min="6147" max="6147" width="9.7109375" style="554" customWidth="1"/>
    <col min="6148" max="6148" width="14.28515625" style="554" customWidth="1"/>
    <col min="6149" max="6149" width="1.7109375" style="554" customWidth="1"/>
    <col min="6150" max="6150" width="14.28515625" style="554" customWidth="1"/>
    <col min="6151" max="6164" width="9.140625" style="554" customWidth="1"/>
    <col min="6165" max="6401" width="11.42578125" style="554" customWidth="1"/>
    <col min="6402" max="6402" width="57.140625" style="554" customWidth="1"/>
    <col min="6403" max="6403" width="9.7109375" style="554" customWidth="1"/>
    <col min="6404" max="6404" width="14.28515625" style="554" customWidth="1"/>
    <col min="6405" max="6405" width="1.7109375" style="554" customWidth="1"/>
    <col min="6406" max="6406" width="14.28515625" style="554" customWidth="1"/>
    <col min="6407" max="6420" width="9.140625" style="554" customWidth="1"/>
    <col min="6421" max="6657" width="11.42578125" style="554" customWidth="1"/>
    <col min="6658" max="6658" width="57.140625" style="554" customWidth="1"/>
    <col min="6659" max="6659" width="9.7109375" style="554" customWidth="1"/>
    <col min="6660" max="6660" width="14.28515625" style="554" customWidth="1"/>
    <col min="6661" max="6661" width="1.7109375" style="554" customWidth="1"/>
    <col min="6662" max="6662" width="14.28515625" style="554" customWidth="1"/>
    <col min="6663" max="6676" width="9.140625" style="554" customWidth="1"/>
    <col min="6677" max="6913" width="11.42578125" style="554" customWidth="1"/>
    <col min="6914" max="6914" width="57.140625" style="554" customWidth="1"/>
    <col min="6915" max="6915" width="9.7109375" style="554" customWidth="1"/>
    <col min="6916" max="6916" width="14.28515625" style="554" customWidth="1"/>
    <col min="6917" max="6917" width="1.7109375" style="554" customWidth="1"/>
    <col min="6918" max="6918" width="14.28515625" style="554" customWidth="1"/>
    <col min="6919" max="6932" width="9.140625" style="554" customWidth="1"/>
    <col min="6933" max="7169" width="11.42578125" style="554" customWidth="1"/>
    <col min="7170" max="7170" width="57.140625" style="554" customWidth="1"/>
    <col min="7171" max="7171" width="9.7109375" style="554" customWidth="1"/>
    <col min="7172" max="7172" width="14.28515625" style="554" customWidth="1"/>
    <col min="7173" max="7173" width="1.7109375" style="554" customWidth="1"/>
    <col min="7174" max="7174" width="14.28515625" style="554" customWidth="1"/>
    <col min="7175" max="7188" width="9.140625" style="554" customWidth="1"/>
    <col min="7189" max="7425" width="11.42578125" style="554" customWidth="1"/>
    <col min="7426" max="7426" width="57.140625" style="554" customWidth="1"/>
    <col min="7427" max="7427" width="9.7109375" style="554" customWidth="1"/>
    <col min="7428" max="7428" width="14.28515625" style="554" customWidth="1"/>
    <col min="7429" max="7429" width="1.7109375" style="554" customWidth="1"/>
    <col min="7430" max="7430" width="14.28515625" style="554" customWidth="1"/>
    <col min="7431" max="7444" width="9.140625" style="554" customWidth="1"/>
    <col min="7445" max="7681" width="11.42578125" style="554" customWidth="1"/>
    <col min="7682" max="7682" width="57.140625" style="554" customWidth="1"/>
    <col min="7683" max="7683" width="9.7109375" style="554" customWidth="1"/>
    <col min="7684" max="7684" width="14.28515625" style="554" customWidth="1"/>
    <col min="7685" max="7685" width="1.7109375" style="554" customWidth="1"/>
    <col min="7686" max="7686" width="14.28515625" style="554" customWidth="1"/>
    <col min="7687" max="7700" width="9.140625" style="554" customWidth="1"/>
    <col min="7701" max="7937" width="11.42578125" style="554" customWidth="1"/>
    <col min="7938" max="7938" width="57.140625" style="554" customWidth="1"/>
    <col min="7939" max="7939" width="9.7109375" style="554" customWidth="1"/>
    <col min="7940" max="7940" width="14.28515625" style="554" customWidth="1"/>
    <col min="7941" max="7941" width="1.7109375" style="554" customWidth="1"/>
    <col min="7942" max="7942" width="14.28515625" style="554" customWidth="1"/>
    <col min="7943" max="7956" width="9.140625" style="554" customWidth="1"/>
    <col min="7957" max="8193" width="11.42578125" style="554" customWidth="1"/>
    <col min="8194" max="8194" width="57.140625" style="554" customWidth="1"/>
    <col min="8195" max="8195" width="9.7109375" style="554" customWidth="1"/>
    <col min="8196" max="8196" width="14.28515625" style="554" customWidth="1"/>
    <col min="8197" max="8197" width="1.7109375" style="554" customWidth="1"/>
    <col min="8198" max="8198" width="14.28515625" style="554" customWidth="1"/>
    <col min="8199" max="8212" width="9.140625" style="554" customWidth="1"/>
    <col min="8213" max="8449" width="11.42578125" style="554" customWidth="1"/>
    <col min="8450" max="8450" width="57.140625" style="554" customWidth="1"/>
    <col min="8451" max="8451" width="9.7109375" style="554" customWidth="1"/>
    <col min="8452" max="8452" width="14.28515625" style="554" customWidth="1"/>
    <col min="8453" max="8453" width="1.7109375" style="554" customWidth="1"/>
    <col min="8454" max="8454" width="14.28515625" style="554" customWidth="1"/>
    <col min="8455" max="8468" width="9.140625" style="554" customWidth="1"/>
    <col min="8469" max="8705" width="11.42578125" style="554" customWidth="1"/>
    <col min="8706" max="8706" width="57.140625" style="554" customWidth="1"/>
    <col min="8707" max="8707" width="9.7109375" style="554" customWidth="1"/>
    <col min="8708" max="8708" width="14.28515625" style="554" customWidth="1"/>
    <col min="8709" max="8709" width="1.7109375" style="554" customWidth="1"/>
    <col min="8710" max="8710" width="14.28515625" style="554" customWidth="1"/>
    <col min="8711" max="8724" width="9.140625" style="554" customWidth="1"/>
    <col min="8725" max="8961" width="11.42578125" style="554" customWidth="1"/>
    <col min="8962" max="8962" width="57.140625" style="554" customWidth="1"/>
    <col min="8963" max="8963" width="9.7109375" style="554" customWidth="1"/>
    <col min="8964" max="8964" width="14.28515625" style="554" customWidth="1"/>
    <col min="8965" max="8965" width="1.7109375" style="554" customWidth="1"/>
    <col min="8966" max="8966" width="14.28515625" style="554" customWidth="1"/>
    <col min="8967" max="8980" width="9.140625" style="554" customWidth="1"/>
    <col min="8981" max="9217" width="11.42578125" style="554" customWidth="1"/>
    <col min="9218" max="9218" width="57.140625" style="554" customWidth="1"/>
    <col min="9219" max="9219" width="9.7109375" style="554" customWidth="1"/>
    <col min="9220" max="9220" width="14.28515625" style="554" customWidth="1"/>
    <col min="9221" max="9221" width="1.7109375" style="554" customWidth="1"/>
    <col min="9222" max="9222" width="14.28515625" style="554" customWidth="1"/>
    <col min="9223" max="9236" width="9.140625" style="554" customWidth="1"/>
    <col min="9237" max="9473" width="11.42578125" style="554" customWidth="1"/>
    <col min="9474" max="9474" width="57.140625" style="554" customWidth="1"/>
    <col min="9475" max="9475" width="9.7109375" style="554" customWidth="1"/>
    <col min="9476" max="9476" width="14.28515625" style="554" customWidth="1"/>
    <col min="9477" max="9477" width="1.7109375" style="554" customWidth="1"/>
    <col min="9478" max="9478" width="14.28515625" style="554" customWidth="1"/>
    <col min="9479" max="9492" width="9.140625" style="554" customWidth="1"/>
    <col min="9493" max="9729" width="11.42578125" style="554" customWidth="1"/>
    <col min="9730" max="9730" width="57.140625" style="554" customWidth="1"/>
    <col min="9731" max="9731" width="9.7109375" style="554" customWidth="1"/>
    <col min="9732" max="9732" width="14.28515625" style="554" customWidth="1"/>
    <col min="9733" max="9733" width="1.7109375" style="554" customWidth="1"/>
    <col min="9734" max="9734" width="14.28515625" style="554" customWidth="1"/>
    <col min="9735" max="9748" width="9.140625" style="554" customWidth="1"/>
    <col min="9749" max="9985" width="11.42578125" style="554" customWidth="1"/>
    <col min="9986" max="9986" width="57.140625" style="554" customWidth="1"/>
    <col min="9987" max="9987" width="9.7109375" style="554" customWidth="1"/>
    <col min="9988" max="9988" width="14.28515625" style="554" customWidth="1"/>
    <col min="9989" max="9989" width="1.7109375" style="554" customWidth="1"/>
    <col min="9990" max="9990" width="14.28515625" style="554" customWidth="1"/>
    <col min="9991" max="10004" width="9.140625" style="554" customWidth="1"/>
    <col min="10005" max="10241" width="11.42578125" style="554" customWidth="1"/>
    <col min="10242" max="10242" width="57.140625" style="554" customWidth="1"/>
    <col min="10243" max="10243" width="9.7109375" style="554" customWidth="1"/>
    <col min="10244" max="10244" width="14.28515625" style="554" customWidth="1"/>
    <col min="10245" max="10245" width="1.7109375" style="554" customWidth="1"/>
    <col min="10246" max="10246" width="14.28515625" style="554" customWidth="1"/>
    <col min="10247" max="10260" width="9.140625" style="554" customWidth="1"/>
    <col min="10261" max="10497" width="11.42578125" style="554" customWidth="1"/>
    <col min="10498" max="10498" width="57.140625" style="554" customWidth="1"/>
    <col min="10499" max="10499" width="9.7109375" style="554" customWidth="1"/>
    <col min="10500" max="10500" width="14.28515625" style="554" customWidth="1"/>
    <col min="10501" max="10501" width="1.7109375" style="554" customWidth="1"/>
    <col min="10502" max="10502" width="14.28515625" style="554" customWidth="1"/>
    <col min="10503" max="10516" width="9.140625" style="554" customWidth="1"/>
    <col min="10517" max="10753" width="11.42578125" style="554" customWidth="1"/>
    <col min="10754" max="10754" width="57.140625" style="554" customWidth="1"/>
    <col min="10755" max="10755" width="9.7109375" style="554" customWidth="1"/>
    <col min="10756" max="10756" width="14.28515625" style="554" customWidth="1"/>
    <col min="10757" max="10757" width="1.7109375" style="554" customWidth="1"/>
    <col min="10758" max="10758" width="14.28515625" style="554" customWidth="1"/>
    <col min="10759" max="10772" width="9.140625" style="554" customWidth="1"/>
    <col min="10773" max="11009" width="11.42578125" style="554" customWidth="1"/>
    <col min="11010" max="11010" width="57.140625" style="554" customWidth="1"/>
    <col min="11011" max="11011" width="9.7109375" style="554" customWidth="1"/>
    <col min="11012" max="11012" width="14.28515625" style="554" customWidth="1"/>
    <col min="11013" max="11013" width="1.7109375" style="554" customWidth="1"/>
    <col min="11014" max="11014" width="14.28515625" style="554" customWidth="1"/>
    <col min="11015" max="11028" width="9.140625" style="554" customWidth="1"/>
    <col min="11029" max="11265" width="11.42578125" style="554" customWidth="1"/>
    <col min="11266" max="11266" width="57.140625" style="554" customWidth="1"/>
    <col min="11267" max="11267" width="9.7109375" style="554" customWidth="1"/>
    <col min="11268" max="11268" width="14.28515625" style="554" customWidth="1"/>
    <col min="11269" max="11269" width="1.7109375" style="554" customWidth="1"/>
    <col min="11270" max="11270" width="14.28515625" style="554" customWidth="1"/>
    <col min="11271" max="11284" width="9.140625" style="554" customWidth="1"/>
    <col min="11285" max="11521" width="11.42578125" style="554" customWidth="1"/>
    <col min="11522" max="11522" width="57.140625" style="554" customWidth="1"/>
    <col min="11523" max="11523" width="9.7109375" style="554" customWidth="1"/>
    <col min="11524" max="11524" width="14.28515625" style="554" customWidth="1"/>
    <col min="11525" max="11525" width="1.7109375" style="554" customWidth="1"/>
    <col min="11526" max="11526" width="14.28515625" style="554" customWidth="1"/>
    <col min="11527" max="11540" width="9.140625" style="554" customWidth="1"/>
    <col min="11541" max="11777" width="11.42578125" style="554" customWidth="1"/>
    <col min="11778" max="11778" width="57.140625" style="554" customWidth="1"/>
    <col min="11779" max="11779" width="9.7109375" style="554" customWidth="1"/>
    <col min="11780" max="11780" width="14.28515625" style="554" customWidth="1"/>
    <col min="11781" max="11781" width="1.7109375" style="554" customWidth="1"/>
    <col min="11782" max="11782" width="14.28515625" style="554" customWidth="1"/>
    <col min="11783" max="11796" width="9.140625" style="554" customWidth="1"/>
    <col min="11797" max="12033" width="11.42578125" style="554" customWidth="1"/>
    <col min="12034" max="12034" width="57.140625" style="554" customWidth="1"/>
    <col min="12035" max="12035" width="9.7109375" style="554" customWidth="1"/>
    <col min="12036" max="12036" width="14.28515625" style="554" customWidth="1"/>
    <col min="12037" max="12037" width="1.7109375" style="554" customWidth="1"/>
    <col min="12038" max="12038" width="14.28515625" style="554" customWidth="1"/>
    <col min="12039" max="12052" width="9.140625" style="554" customWidth="1"/>
    <col min="12053" max="12289" width="11.42578125" style="554" customWidth="1"/>
    <col min="12290" max="12290" width="57.140625" style="554" customWidth="1"/>
    <col min="12291" max="12291" width="9.7109375" style="554" customWidth="1"/>
    <col min="12292" max="12292" width="14.28515625" style="554" customWidth="1"/>
    <col min="12293" max="12293" width="1.7109375" style="554" customWidth="1"/>
    <col min="12294" max="12294" width="14.28515625" style="554" customWidth="1"/>
    <col min="12295" max="12308" width="9.140625" style="554" customWidth="1"/>
    <col min="12309" max="12545" width="11.42578125" style="554" customWidth="1"/>
    <col min="12546" max="12546" width="57.140625" style="554" customWidth="1"/>
    <col min="12547" max="12547" width="9.7109375" style="554" customWidth="1"/>
    <col min="12548" max="12548" width="14.28515625" style="554" customWidth="1"/>
    <col min="12549" max="12549" width="1.7109375" style="554" customWidth="1"/>
    <col min="12550" max="12550" width="14.28515625" style="554" customWidth="1"/>
    <col min="12551" max="12564" width="9.140625" style="554" customWidth="1"/>
    <col min="12565" max="12801" width="11.42578125" style="554" customWidth="1"/>
    <col min="12802" max="12802" width="57.140625" style="554" customWidth="1"/>
    <col min="12803" max="12803" width="9.7109375" style="554" customWidth="1"/>
    <col min="12804" max="12804" width="14.28515625" style="554" customWidth="1"/>
    <col min="12805" max="12805" width="1.7109375" style="554" customWidth="1"/>
    <col min="12806" max="12806" width="14.28515625" style="554" customWidth="1"/>
    <col min="12807" max="12820" width="9.140625" style="554" customWidth="1"/>
    <col min="12821" max="13057" width="11.42578125" style="554" customWidth="1"/>
    <col min="13058" max="13058" width="57.140625" style="554" customWidth="1"/>
    <col min="13059" max="13059" width="9.7109375" style="554" customWidth="1"/>
    <col min="13060" max="13060" width="14.28515625" style="554" customWidth="1"/>
    <col min="13061" max="13061" width="1.7109375" style="554" customWidth="1"/>
    <col min="13062" max="13062" width="14.28515625" style="554" customWidth="1"/>
    <col min="13063" max="13076" width="9.140625" style="554" customWidth="1"/>
    <col min="13077" max="13313" width="11.42578125" style="554" customWidth="1"/>
    <col min="13314" max="13314" width="57.140625" style="554" customWidth="1"/>
    <col min="13315" max="13315" width="9.7109375" style="554" customWidth="1"/>
    <col min="13316" max="13316" width="14.28515625" style="554" customWidth="1"/>
    <col min="13317" max="13317" width="1.7109375" style="554" customWidth="1"/>
    <col min="13318" max="13318" width="14.28515625" style="554" customWidth="1"/>
    <col min="13319" max="13332" width="9.140625" style="554" customWidth="1"/>
    <col min="13333" max="13569" width="11.42578125" style="554" customWidth="1"/>
    <col min="13570" max="13570" width="57.140625" style="554" customWidth="1"/>
    <col min="13571" max="13571" width="9.7109375" style="554" customWidth="1"/>
    <col min="13572" max="13572" width="14.28515625" style="554" customWidth="1"/>
    <col min="13573" max="13573" width="1.7109375" style="554" customWidth="1"/>
    <col min="13574" max="13574" width="14.28515625" style="554" customWidth="1"/>
    <col min="13575" max="13588" width="9.140625" style="554" customWidth="1"/>
    <col min="13589" max="13825" width="11.42578125" style="554" customWidth="1"/>
    <col min="13826" max="13826" width="57.140625" style="554" customWidth="1"/>
    <col min="13827" max="13827" width="9.7109375" style="554" customWidth="1"/>
    <col min="13828" max="13828" width="14.28515625" style="554" customWidth="1"/>
    <col min="13829" max="13829" width="1.7109375" style="554" customWidth="1"/>
    <col min="13830" max="13830" width="14.28515625" style="554" customWidth="1"/>
    <col min="13831" max="13844" width="9.140625" style="554" customWidth="1"/>
    <col min="13845" max="14081" width="11.42578125" style="554" customWidth="1"/>
    <col min="14082" max="14082" width="57.140625" style="554" customWidth="1"/>
    <col min="14083" max="14083" width="9.7109375" style="554" customWidth="1"/>
    <col min="14084" max="14084" width="14.28515625" style="554" customWidth="1"/>
    <col min="14085" max="14085" width="1.7109375" style="554" customWidth="1"/>
    <col min="14086" max="14086" width="14.28515625" style="554" customWidth="1"/>
    <col min="14087" max="14100" width="9.140625" style="554" customWidth="1"/>
    <col min="14101" max="14337" width="11.42578125" style="554" customWidth="1"/>
    <col min="14338" max="14338" width="57.140625" style="554" customWidth="1"/>
    <col min="14339" max="14339" width="9.7109375" style="554" customWidth="1"/>
    <col min="14340" max="14340" width="14.28515625" style="554" customWidth="1"/>
    <col min="14341" max="14341" width="1.7109375" style="554" customWidth="1"/>
    <col min="14342" max="14342" width="14.28515625" style="554" customWidth="1"/>
    <col min="14343" max="14356" width="9.140625" style="554" customWidth="1"/>
    <col min="14357" max="14593" width="11.42578125" style="554" customWidth="1"/>
    <col min="14594" max="14594" width="57.140625" style="554" customWidth="1"/>
    <col min="14595" max="14595" width="9.7109375" style="554" customWidth="1"/>
    <col min="14596" max="14596" width="14.28515625" style="554" customWidth="1"/>
    <col min="14597" max="14597" width="1.7109375" style="554" customWidth="1"/>
    <col min="14598" max="14598" width="14.28515625" style="554" customWidth="1"/>
    <col min="14599" max="14612" width="9.140625" style="554" customWidth="1"/>
    <col min="14613" max="14849" width="11.42578125" style="554" customWidth="1"/>
    <col min="14850" max="14850" width="57.140625" style="554" customWidth="1"/>
    <col min="14851" max="14851" width="9.7109375" style="554" customWidth="1"/>
    <col min="14852" max="14852" width="14.28515625" style="554" customWidth="1"/>
    <col min="14853" max="14853" width="1.7109375" style="554" customWidth="1"/>
    <col min="14854" max="14854" width="14.28515625" style="554" customWidth="1"/>
    <col min="14855" max="14868" width="9.140625" style="554" customWidth="1"/>
    <col min="14869" max="15105" width="11.42578125" style="554" customWidth="1"/>
    <col min="15106" max="15106" width="57.140625" style="554" customWidth="1"/>
    <col min="15107" max="15107" width="9.7109375" style="554" customWidth="1"/>
    <col min="15108" max="15108" width="14.28515625" style="554" customWidth="1"/>
    <col min="15109" max="15109" width="1.7109375" style="554" customWidth="1"/>
    <col min="15110" max="15110" width="14.28515625" style="554" customWidth="1"/>
    <col min="15111" max="15124" width="9.140625" style="554" customWidth="1"/>
    <col min="15125" max="15361" width="11.42578125" style="554" customWidth="1"/>
    <col min="15362" max="15362" width="57.140625" style="554" customWidth="1"/>
    <col min="15363" max="15363" width="9.7109375" style="554" customWidth="1"/>
    <col min="15364" max="15364" width="14.28515625" style="554" customWidth="1"/>
    <col min="15365" max="15365" width="1.7109375" style="554" customWidth="1"/>
    <col min="15366" max="15366" width="14.28515625" style="554" customWidth="1"/>
    <col min="15367" max="15380" width="9.140625" style="554" customWidth="1"/>
    <col min="15381" max="15617" width="11.42578125" style="554" customWidth="1"/>
    <col min="15618" max="15618" width="57.140625" style="554" customWidth="1"/>
    <col min="15619" max="15619" width="9.7109375" style="554" customWidth="1"/>
    <col min="15620" max="15620" width="14.28515625" style="554" customWidth="1"/>
    <col min="15621" max="15621" width="1.7109375" style="554" customWidth="1"/>
    <col min="15622" max="15622" width="14.28515625" style="554" customWidth="1"/>
    <col min="15623" max="15636" width="9.140625" style="554" customWidth="1"/>
    <col min="15637" max="15873" width="11.42578125" style="554" customWidth="1"/>
    <col min="15874" max="15874" width="57.140625" style="554" customWidth="1"/>
    <col min="15875" max="15875" width="9.7109375" style="554" customWidth="1"/>
    <col min="15876" max="15876" width="14.28515625" style="554" customWidth="1"/>
    <col min="15877" max="15877" width="1.7109375" style="554" customWidth="1"/>
    <col min="15878" max="15878" width="14.28515625" style="554" customWidth="1"/>
    <col min="15879" max="15892" width="9.140625" style="554" customWidth="1"/>
    <col min="15893" max="16129" width="11.42578125" style="554" customWidth="1"/>
    <col min="16130" max="16130" width="57.140625" style="554" customWidth="1"/>
    <col min="16131" max="16131" width="9.7109375" style="554" customWidth="1"/>
    <col min="16132" max="16132" width="14.28515625" style="554" customWidth="1"/>
    <col min="16133" max="16133" width="1.7109375" style="554" customWidth="1"/>
    <col min="16134" max="16134" width="14.28515625" style="554" customWidth="1"/>
    <col min="16135" max="16148" width="9.140625" style="554" customWidth="1"/>
    <col min="16149" max="16384" width="11.42578125" style="554" customWidth="1"/>
  </cols>
  <sheetData>
    <row r="1" spans="1:6" x14ac:dyDescent="0.2">
      <c r="A1" s="685" t="s">
        <v>413</v>
      </c>
      <c r="B1" s="687" t="s">
        <v>412</v>
      </c>
      <c r="C1" s="548"/>
      <c r="D1" s="576"/>
    </row>
    <row r="2" spans="1:6" s="550" customFormat="1" ht="12.75" customHeight="1" x14ac:dyDescent="0.2">
      <c r="B2" s="548" t="s">
        <v>307</v>
      </c>
      <c r="C2" s="548"/>
      <c r="E2" s="578"/>
    </row>
    <row r="3" spans="1:6" s="550" customFormat="1" ht="3.95" customHeight="1" x14ac:dyDescent="0.2">
      <c r="B3" s="548"/>
      <c r="C3" s="548"/>
      <c r="E3" s="578"/>
    </row>
    <row r="4" spans="1:6" s="550" customFormat="1" ht="12.75" customHeight="1" x14ac:dyDescent="0.2">
      <c r="B4" s="548"/>
      <c r="C4" s="548"/>
      <c r="D4" s="579"/>
      <c r="E4" s="578"/>
      <c r="F4" s="579"/>
    </row>
    <row r="5" spans="1:6" s="550" customFormat="1" ht="12.75" customHeight="1" x14ac:dyDescent="0.2">
      <c r="B5" s="548"/>
      <c r="C5" s="548"/>
      <c r="D5" s="579"/>
      <c r="E5" s="578"/>
      <c r="F5" s="579" t="s">
        <v>333</v>
      </c>
    </row>
    <row r="6" spans="1:6" s="550" customFormat="1" ht="12.75" customHeight="1" x14ac:dyDescent="0.2">
      <c r="D6" s="579" t="s">
        <v>334</v>
      </c>
      <c r="E6" s="580"/>
      <c r="F6" s="579" t="s">
        <v>334</v>
      </c>
    </row>
    <row r="7" spans="1:6" ht="12.75" customHeight="1" x14ac:dyDescent="0.2">
      <c r="B7" s="326"/>
      <c r="C7" s="326"/>
      <c r="D7" s="581">
        <v>2014</v>
      </c>
      <c r="E7" s="582"/>
      <c r="F7" s="581">
        <v>2013</v>
      </c>
    </row>
    <row r="8" spans="1:6" ht="12.75" customHeight="1" x14ac:dyDescent="0.2">
      <c r="B8" s="555"/>
      <c r="C8" s="556"/>
      <c r="D8" s="556" t="s">
        <v>14</v>
      </c>
      <c r="E8" s="583"/>
      <c r="F8" s="556" t="s">
        <v>14</v>
      </c>
    </row>
    <row r="9" spans="1:6" ht="12.75" customHeight="1" x14ac:dyDescent="0.2">
      <c r="B9" s="564" t="s">
        <v>335</v>
      </c>
      <c r="C9" s="564"/>
      <c r="D9" s="584"/>
      <c r="E9" s="585"/>
      <c r="F9" s="586"/>
    </row>
    <row r="10" spans="1:6" ht="12.75" customHeight="1" x14ac:dyDescent="0.2">
      <c r="B10" s="558" t="s">
        <v>336</v>
      </c>
      <c r="C10" s="558"/>
      <c r="D10" s="31">
        <v>23315</v>
      </c>
      <c r="E10" s="566"/>
      <c r="F10" s="118">
        <v>24390</v>
      </c>
    </row>
    <row r="11" spans="1:6" ht="12.75" customHeight="1" x14ac:dyDescent="0.2">
      <c r="B11" s="558" t="s">
        <v>337</v>
      </c>
      <c r="C11" s="558"/>
      <c r="D11" s="31">
        <v>23373</v>
      </c>
      <c r="E11" s="566"/>
      <c r="F11" s="118">
        <v>19749</v>
      </c>
    </row>
    <row r="12" spans="1:6" ht="12.75" customHeight="1" x14ac:dyDescent="0.2">
      <c r="B12" s="558" t="s">
        <v>338</v>
      </c>
      <c r="C12" s="558"/>
      <c r="D12" s="31">
        <v>22851</v>
      </c>
      <c r="E12" s="566"/>
      <c r="F12" s="118">
        <v>17584</v>
      </c>
    </row>
    <row r="13" spans="1:6" ht="12.75" customHeight="1" x14ac:dyDescent="0.2">
      <c r="B13" s="558" t="s">
        <v>505</v>
      </c>
      <c r="C13" s="558"/>
      <c r="D13" s="31">
        <v>114</v>
      </c>
      <c r="E13" s="566"/>
      <c r="F13" s="118">
        <v>46447</v>
      </c>
    </row>
    <row r="14" spans="1:6" ht="12.75" customHeight="1" x14ac:dyDescent="0.2">
      <c r="B14" s="558" t="s">
        <v>339</v>
      </c>
      <c r="C14" s="558"/>
      <c r="D14" s="31">
        <v>3553</v>
      </c>
      <c r="E14" s="566"/>
      <c r="F14" s="118">
        <v>773</v>
      </c>
    </row>
    <row r="15" spans="1:6" ht="12.75" customHeight="1" x14ac:dyDescent="0.2">
      <c r="B15" s="558" t="s">
        <v>340</v>
      </c>
      <c r="C15" s="558"/>
      <c r="D15" s="31">
        <v>20607</v>
      </c>
      <c r="E15" s="566"/>
      <c r="F15" s="118">
        <v>2848</v>
      </c>
    </row>
    <row r="16" spans="1:6" ht="12.75" customHeight="1" x14ac:dyDescent="0.2">
      <c r="B16" s="558" t="s">
        <v>341</v>
      </c>
      <c r="C16" s="558"/>
      <c r="D16" s="31">
        <v>35</v>
      </c>
      <c r="E16" s="566"/>
      <c r="F16" s="118">
        <v>52</v>
      </c>
    </row>
    <row r="17" spans="2:6" ht="12.75" customHeight="1" x14ac:dyDescent="0.2">
      <c r="B17" s="558" t="s">
        <v>342</v>
      </c>
      <c r="C17" s="558"/>
      <c r="D17" s="31">
        <v>3270</v>
      </c>
      <c r="E17" s="566"/>
      <c r="F17" s="118">
        <v>4832</v>
      </c>
    </row>
    <row r="18" spans="2:6" s="567" customFormat="1" ht="12.75" customHeight="1" x14ac:dyDescent="0.2">
      <c r="B18" s="587"/>
      <c r="C18" s="587"/>
      <c r="D18" s="588">
        <f>SUM(D10:D17)</f>
        <v>97118</v>
      </c>
      <c r="E18" s="589"/>
      <c r="F18" s="590">
        <f>SUM(F10:F17)</f>
        <v>116675</v>
      </c>
    </row>
    <row r="19" spans="2:6" ht="12.75" customHeight="1" x14ac:dyDescent="0.2">
      <c r="B19" s="564" t="s">
        <v>343</v>
      </c>
      <c r="C19" s="564"/>
      <c r="D19" s="568"/>
      <c r="E19" s="566"/>
      <c r="F19" s="569"/>
    </row>
    <row r="20" spans="2:6" ht="12.75" customHeight="1" x14ac:dyDescent="0.2">
      <c r="B20" s="558" t="s">
        <v>344</v>
      </c>
      <c r="C20" s="558"/>
      <c r="D20" s="31">
        <v>441</v>
      </c>
      <c r="E20" s="566"/>
      <c r="F20" s="118">
        <v>353</v>
      </c>
    </row>
    <row r="21" spans="2:6" ht="12.75" customHeight="1" x14ac:dyDescent="0.2">
      <c r="B21" s="558" t="s">
        <v>345</v>
      </c>
      <c r="C21" s="558"/>
      <c r="D21" s="31">
        <v>808</v>
      </c>
      <c r="E21" s="566"/>
      <c r="F21" s="118">
        <v>397</v>
      </c>
    </row>
    <row r="22" spans="2:6" ht="12.75" customHeight="1" x14ac:dyDescent="0.2">
      <c r="B22" s="558" t="s">
        <v>342</v>
      </c>
      <c r="C22" s="558"/>
      <c r="D22" s="31">
        <v>8886</v>
      </c>
      <c r="E22" s="566"/>
      <c r="F22" s="118">
        <v>8018</v>
      </c>
    </row>
    <row r="23" spans="2:6" ht="12.75" customHeight="1" x14ac:dyDescent="0.2">
      <c r="B23" s="558" t="s">
        <v>339</v>
      </c>
      <c r="C23" s="558"/>
      <c r="D23" s="31">
        <v>4419</v>
      </c>
      <c r="E23" s="566"/>
      <c r="F23" s="118">
        <v>5350</v>
      </c>
    </row>
    <row r="24" spans="2:6" ht="12.75" customHeight="1" x14ac:dyDescent="0.2">
      <c r="B24" s="558" t="s">
        <v>346</v>
      </c>
      <c r="C24" s="558"/>
      <c r="D24" s="31">
        <v>10134</v>
      </c>
      <c r="E24" s="566"/>
      <c r="F24" s="118">
        <v>7531</v>
      </c>
    </row>
    <row r="25" spans="2:6" ht="12.75" customHeight="1" x14ac:dyDescent="0.2">
      <c r="B25" s="558" t="s">
        <v>506</v>
      </c>
      <c r="C25" s="118"/>
      <c r="D25" s="31">
        <v>34</v>
      </c>
      <c r="E25" s="566"/>
      <c r="F25" s="118">
        <v>0</v>
      </c>
    </row>
    <row r="26" spans="2:6" s="567" customFormat="1" ht="12.75" customHeight="1" x14ac:dyDescent="0.2">
      <c r="B26" s="587"/>
      <c r="C26" s="587"/>
      <c r="D26" s="588">
        <f>SUM(D20:D25)</f>
        <v>24722</v>
      </c>
      <c r="E26" s="589"/>
      <c r="F26" s="590">
        <f>SUM(F20:F25)</f>
        <v>21649</v>
      </c>
    </row>
    <row r="27" spans="2:6" s="567" customFormat="1" ht="12.75" customHeight="1" thickBot="1" x14ac:dyDescent="0.25">
      <c r="B27" s="591" t="s">
        <v>347</v>
      </c>
      <c r="C27" s="591"/>
      <c r="D27" s="592">
        <f>D18+D26</f>
        <v>121840</v>
      </c>
      <c r="E27" s="593"/>
      <c r="F27" s="594">
        <f>F18+F26</f>
        <v>138324</v>
      </c>
    </row>
    <row r="28" spans="2:6" ht="3.95" customHeight="1" x14ac:dyDescent="0.2">
      <c r="B28" s="564"/>
      <c r="C28" s="564"/>
      <c r="D28" s="568"/>
      <c r="E28" s="566"/>
      <c r="F28" s="569"/>
    </row>
    <row r="29" spans="2:6" ht="12.75" customHeight="1" x14ac:dyDescent="0.2">
      <c r="B29" s="564" t="s">
        <v>348</v>
      </c>
      <c r="C29" s="564"/>
      <c r="D29" s="568"/>
      <c r="E29" s="566"/>
      <c r="F29" s="569"/>
    </row>
    <row r="30" spans="2:6" ht="12.75" customHeight="1" x14ac:dyDescent="0.2">
      <c r="B30" s="558" t="s">
        <v>349</v>
      </c>
      <c r="C30" s="558"/>
      <c r="D30" s="31">
        <v>3792</v>
      </c>
      <c r="E30" s="566"/>
      <c r="F30" s="118">
        <v>3866</v>
      </c>
    </row>
    <row r="31" spans="2:6" ht="12.75" customHeight="1" x14ac:dyDescent="0.2">
      <c r="B31" s="558" t="s">
        <v>350</v>
      </c>
      <c r="C31" s="558"/>
      <c r="D31" s="31">
        <v>116973</v>
      </c>
      <c r="E31" s="566"/>
      <c r="F31" s="118">
        <v>154279</v>
      </c>
    </row>
    <row r="32" spans="2:6" ht="12.75" customHeight="1" x14ac:dyDescent="0.2">
      <c r="B32" s="558" t="s">
        <v>351</v>
      </c>
      <c r="C32" s="558"/>
      <c r="D32" s="31">
        <v>-7187</v>
      </c>
      <c r="E32" s="566"/>
      <c r="F32" s="118">
        <v>-9029</v>
      </c>
    </row>
    <row r="33" spans="2:6" ht="12.75" customHeight="1" x14ac:dyDescent="0.2">
      <c r="B33" s="558" t="s">
        <v>472</v>
      </c>
      <c r="C33" s="558"/>
      <c r="D33" s="31">
        <v>-51428</v>
      </c>
      <c r="E33" s="566"/>
      <c r="F33" s="118">
        <v>-88834</v>
      </c>
    </row>
    <row r="34" spans="2:6" ht="12.75" customHeight="1" x14ac:dyDescent="0.2">
      <c r="B34" s="558" t="s">
        <v>352</v>
      </c>
      <c r="C34" s="558"/>
      <c r="D34" s="31">
        <v>8652</v>
      </c>
      <c r="E34" s="566"/>
      <c r="F34" s="118">
        <v>11195</v>
      </c>
    </row>
    <row r="35" spans="2:6" s="567" customFormat="1" ht="12.75" customHeight="1" x14ac:dyDescent="0.2">
      <c r="B35" s="587" t="s">
        <v>353</v>
      </c>
      <c r="C35" s="587"/>
      <c r="D35" s="588">
        <f>SUM(D30:D34)</f>
        <v>70802</v>
      </c>
      <c r="E35" s="589"/>
      <c r="F35" s="590">
        <f>SUM(F30:F34)</f>
        <v>71477</v>
      </c>
    </row>
    <row r="36" spans="2:6" ht="3.95" customHeight="1" x14ac:dyDescent="0.2">
      <c r="B36" s="564"/>
      <c r="C36" s="564"/>
      <c r="D36" s="568"/>
      <c r="E36" s="566"/>
      <c r="F36" s="569"/>
    </row>
    <row r="37" spans="2:6" ht="12.75" customHeight="1" x14ac:dyDescent="0.2">
      <c r="B37" s="558" t="s">
        <v>74</v>
      </c>
      <c r="C37" s="558"/>
      <c r="D37" s="31">
        <v>1733</v>
      </c>
      <c r="E37" s="566"/>
      <c r="F37" s="118">
        <v>1890</v>
      </c>
    </row>
    <row r="38" spans="2:6" ht="12.75" customHeight="1" x14ac:dyDescent="0.2">
      <c r="B38" s="558" t="s">
        <v>354</v>
      </c>
      <c r="C38" s="558"/>
      <c r="D38" s="568">
        <v>-754</v>
      </c>
      <c r="E38" s="566"/>
      <c r="F38" s="569">
        <v>-879</v>
      </c>
    </row>
    <row r="39" spans="2:6" s="567" customFormat="1" ht="12.75" customHeight="1" x14ac:dyDescent="0.2">
      <c r="B39" s="587" t="s">
        <v>355</v>
      </c>
      <c r="C39" s="587"/>
      <c r="D39" s="588">
        <f>SUM(D37:D38)</f>
        <v>979</v>
      </c>
      <c r="E39" s="589"/>
      <c r="F39" s="590">
        <f>SUM(F37:F38)</f>
        <v>1011</v>
      </c>
    </row>
    <row r="40" spans="2:6" s="567" customFormat="1" ht="12.75" customHeight="1" x14ac:dyDescent="0.2">
      <c r="B40" s="587" t="s">
        <v>356</v>
      </c>
      <c r="C40" s="587"/>
      <c r="D40" s="588">
        <f>+D39+D35</f>
        <v>71781</v>
      </c>
      <c r="E40" s="589"/>
      <c r="F40" s="590">
        <f>+F39+F35</f>
        <v>72488</v>
      </c>
    </row>
    <row r="41" spans="2:6" ht="3.95" customHeight="1" x14ac:dyDescent="0.2">
      <c r="B41" s="558"/>
      <c r="C41" s="558"/>
      <c r="D41" s="568"/>
      <c r="E41" s="566"/>
      <c r="F41" s="569"/>
    </row>
    <row r="42" spans="2:6" ht="12.75" customHeight="1" x14ac:dyDescent="0.2">
      <c r="B42" s="564" t="s">
        <v>357</v>
      </c>
      <c r="C42" s="564"/>
      <c r="D42" s="568"/>
      <c r="E42" s="566"/>
      <c r="F42" s="569"/>
    </row>
    <row r="43" spans="2:6" ht="12.75" customHeight="1" x14ac:dyDescent="0.2">
      <c r="B43" s="558" t="s">
        <v>358</v>
      </c>
      <c r="C43" s="558"/>
      <c r="D43" s="31">
        <v>21454</v>
      </c>
      <c r="E43" s="566"/>
      <c r="F43" s="118">
        <v>27904</v>
      </c>
    </row>
    <row r="44" spans="2:6" ht="12.75" customHeight="1" x14ac:dyDescent="0.2">
      <c r="B44" s="558" t="s">
        <v>359</v>
      </c>
      <c r="C44" s="558"/>
      <c r="D44" s="31">
        <v>50</v>
      </c>
      <c r="E44" s="566"/>
      <c r="F44" s="118">
        <v>150</v>
      </c>
    </row>
    <row r="45" spans="2:6" ht="12.75" customHeight="1" x14ac:dyDescent="0.2">
      <c r="B45" s="558" t="s">
        <v>360</v>
      </c>
      <c r="C45" s="558"/>
      <c r="D45" s="31">
        <v>747</v>
      </c>
      <c r="E45" s="566"/>
      <c r="F45" s="118">
        <v>6671</v>
      </c>
    </row>
    <row r="46" spans="2:6" ht="12.75" customHeight="1" x14ac:dyDescent="0.2">
      <c r="B46" s="558" t="s">
        <v>341</v>
      </c>
      <c r="C46" s="558"/>
      <c r="D46" s="31">
        <v>584</v>
      </c>
      <c r="E46" s="566"/>
      <c r="F46" s="118">
        <v>580</v>
      </c>
    </row>
    <row r="47" spans="2:6" ht="12.75" customHeight="1" x14ac:dyDescent="0.2">
      <c r="B47" s="558" t="s">
        <v>361</v>
      </c>
      <c r="C47" s="558"/>
      <c r="D47" s="31">
        <v>846</v>
      </c>
      <c r="E47" s="566"/>
      <c r="F47" s="118">
        <v>855</v>
      </c>
    </row>
    <row r="48" spans="2:6" ht="12.75" customHeight="1" x14ac:dyDescent="0.2">
      <c r="B48" s="558" t="s">
        <v>362</v>
      </c>
      <c r="C48" s="558"/>
      <c r="D48" s="31">
        <v>1339</v>
      </c>
      <c r="E48" s="566"/>
      <c r="F48" s="118">
        <v>1307</v>
      </c>
    </row>
    <row r="49" spans="2:6" s="567" customFormat="1" ht="12.75" customHeight="1" x14ac:dyDescent="0.2">
      <c r="B49" s="587"/>
      <c r="C49" s="587"/>
      <c r="D49" s="588">
        <f>SUM(D43:D48)</f>
        <v>25020</v>
      </c>
      <c r="E49" s="589"/>
      <c r="F49" s="590">
        <f>SUM(F43:F48)</f>
        <v>37467</v>
      </c>
    </row>
    <row r="50" spans="2:6" ht="12.75" customHeight="1" x14ac:dyDescent="0.2">
      <c r="B50" s="567" t="s">
        <v>363</v>
      </c>
      <c r="C50" s="567"/>
      <c r="D50" s="31"/>
      <c r="E50" s="566"/>
      <c r="F50" s="118"/>
    </row>
    <row r="51" spans="2:6" ht="12.75" customHeight="1" x14ac:dyDescent="0.2">
      <c r="B51" s="554" t="s">
        <v>364</v>
      </c>
      <c r="D51" s="31">
        <v>7747</v>
      </c>
      <c r="E51" s="566"/>
      <c r="F51" s="118">
        <v>11800</v>
      </c>
    </row>
    <row r="52" spans="2:6" ht="12.75" customHeight="1" x14ac:dyDescent="0.2">
      <c r="B52" s="554" t="s">
        <v>359</v>
      </c>
      <c r="D52" s="31">
        <v>873</v>
      </c>
      <c r="E52" s="566"/>
      <c r="F52" s="118">
        <v>1922</v>
      </c>
    </row>
    <row r="53" spans="2:6" ht="12.75" customHeight="1" x14ac:dyDescent="0.2">
      <c r="B53" s="554" t="s">
        <v>361</v>
      </c>
      <c r="D53" s="31">
        <v>963</v>
      </c>
      <c r="E53" s="566"/>
      <c r="F53" s="118">
        <v>715</v>
      </c>
    </row>
    <row r="54" spans="2:6" ht="12.75" customHeight="1" x14ac:dyDescent="0.2">
      <c r="B54" s="554" t="s">
        <v>362</v>
      </c>
      <c r="D54" s="31">
        <v>15456</v>
      </c>
      <c r="E54" s="566"/>
      <c r="F54" s="118">
        <v>13932</v>
      </c>
    </row>
    <row r="55" spans="2:6" s="567" customFormat="1" ht="12.75" customHeight="1" x14ac:dyDescent="0.2">
      <c r="B55" s="595"/>
      <c r="C55" s="595"/>
      <c r="D55" s="588">
        <f>SUM(D51:D54)</f>
        <v>25039</v>
      </c>
      <c r="E55" s="589"/>
      <c r="F55" s="590">
        <f>SUM(F51:F54)</f>
        <v>28369</v>
      </c>
    </row>
    <row r="56" spans="2:6" s="567" customFormat="1" ht="12.75" customHeight="1" thickBot="1" x14ac:dyDescent="0.25">
      <c r="B56" s="574" t="s">
        <v>365</v>
      </c>
      <c r="C56" s="574"/>
      <c r="D56" s="592">
        <f>+D55+D49+D40</f>
        <v>121840</v>
      </c>
      <c r="E56" s="593"/>
      <c r="F56" s="594">
        <f>+F55+F49+F40</f>
        <v>138324</v>
      </c>
    </row>
    <row r="57" spans="2:6" ht="3.95" customHeight="1" x14ac:dyDescent="0.2">
      <c r="D57" s="577"/>
      <c r="F57" s="577"/>
    </row>
    <row r="58" spans="2:6" ht="12.75" customHeight="1" x14ac:dyDescent="0.2">
      <c r="B58" s="575"/>
      <c r="C58" s="575"/>
    </row>
    <row r="59" spans="2:6" ht="12" customHeight="1" x14ac:dyDescent="0.2"/>
  </sheetData>
  <sheetProtection formatCells="0" formatColumns="0" formatRows="0" sort="0" autoFilter="0" pivotTables="0"/>
  <hyperlinks>
    <hyperlink ref="A1" location="'FY 14 Financial statements'!A1" display="Back"/>
  </hyperlinks>
  <pageMargins left="0.75" right="0.75" top="1" bottom="1" header="0.5" footer="0.5"/>
  <pageSetup scale="89" orientation="portrait" horizontalDpi="300" verticalDpi="300"/>
  <headerFooter alignWithMargins="0">
    <oddHeader>&amp;L&amp;"Vodafone Rg,Regular"Vodafone Group Plc</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showGridLines="0" workbookViewId="0">
      <selection activeCell="B11" sqref="B11"/>
    </sheetView>
  </sheetViews>
  <sheetFormatPr defaultRowHeight="12.75" x14ac:dyDescent="0.2"/>
  <cols>
    <col min="1" max="1" width="6.28515625" style="554" customWidth="1"/>
    <col min="2" max="2" width="57.140625" style="554" customWidth="1"/>
    <col min="3" max="3" width="13.7109375" style="554" customWidth="1"/>
    <col min="4" max="4" width="1.7109375" style="554" customWidth="1"/>
    <col min="5" max="5" width="13.7109375" style="554" customWidth="1"/>
    <col min="6" max="6" width="1.85546875" style="554" customWidth="1"/>
    <col min="7" max="7" width="13.7109375" style="554" customWidth="1"/>
    <col min="8" max="8" width="1.7109375" style="554" customWidth="1"/>
    <col min="9" max="9" width="13.7109375" style="554" customWidth="1"/>
    <col min="10" max="10" width="1.7109375" style="554" customWidth="1"/>
    <col min="11" max="11" width="14.28515625" style="554" customWidth="1"/>
    <col min="12" max="12" width="1.7109375" style="577" customWidth="1"/>
    <col min="13" max="13" width="14.28515625" style="554" customWidth="1"/>
    <col min="14" max="14" width="1.7109375" style="554" customWidth="1"/>
    <col min="15" max="15" width="14.28515625" style="554" customWidth="1"/>
    <col min="16" max="16" width="11" style="554" customWidth="1"/>
    <col min="17" max="17" width="9" style="554" customWidth="1"/>
    <col min="18" max="25" width="9.140625" style="554" customWidth="1"/>
    <col min="26" max="256" width="11.42578125" style="554" customWidth="1"/>
    <col min="257" max="257" width="3.7109375" style="554" customWidth="1"/>
    <col min="258" max="258" width="57.140625" style="554" customWidth="1"/>
    <col min="259" max="259" width="13.7109375" style="554" customWidth="1"/>
    <col min="260" max="260" width="1.7109375" style="554" customWidth="1"/>
    <col min="261" max="261" width="13.7109375" style="554" customWidth="1"/>
    <col min="262" max="262" width="1.85546875" style="554" customWidth="1"/>
    <col min="263" max="263" width="13.7109375" style="554" customWidth="1"/>
    <col min="264" max="264" width="1.7109375" style="554" customWidth="1"/>
    <col min="265" max="265" width="13.7109375" style="554" customWidth="1"/>
    <col min="266" max="266" width="1.7109375" style="554" customWidth="1"/>
    <col min="267" max="267" width="14.28515625" style="554" customWidth="1"/>
    <col min="268" max="268" width="1.7109375" style="554" customWidth="1"/>
    <col min="269" max="269" width="14.28515625" style="554" customWidth="1"/>
    <col min="270" max="270" width="1.7109375" style="554" customWidth="1"/>
    <col min="271" max="271" width="14.28515625" style="554" customWidth="1"/>
    <col min="272" max="272" width="11" style="554" customWidth="1"/>
    <col min="273" max="273" width="9" style="554" customWidth="1"/>
    <col min="274" max="281" width="9.140625" style="554" customWidth="1"/>
    <col min="282" max="512" width="11.42578125" style="554" customWidth="1"/>
    <col min="513" max="513" width="3.7109375" style="554" customWidth="1"/>
    <col min="514" max="514" width="57.140625" style="554" customWidth="1"/>
    <col min="515" max="515" width="13.7109375" style="554" customWidth="1"/>
    <col min="516" max="516" width="1.7109375" style="554" customWidth="1"/>
    <col min="517" max="517" width="13.7109375" style="554" customWidth="1"/>
    <col min="518" max="518" width="1.85546875" style="554" customWidth="1"/>
    <col min="519" max="519" width="13.7109375" style="554" customWidth="1"/>
    <col min="520" max="520" width="1.7109375" style="554" customWidth="1"/>
    <col min="521" max="521" width="13.7109375" style="554" customWidth="1"/>
    <col min="522" max="522" width="1.7109375" style="554" customWidth="1"/>
    <col min="523" max="523" width="14.28515625" style="554" customWidth="1"/>
    <col min="524" max="524" width="1.7109375" style="554" customWidth="1"/>
    <col min="525" max="525" width="14.28515625" style="554" customWidth="1"/>
    <col min="526" max="526" width="1.7109375" style="554" customWidth="1"/>
    <col min="527" max="527" width="14.28515625" style="554" customWidth="1"/>
    <col min="528" max="528" width="11" style="554" customWidth="1"/>
    <col min="529" max="529" width="9" style="554" customWidth="1"/>
    <col min="530" max="537" width="9.140625" style="554" customWidth="1"/>
    <col min="538" max="768" width="11.42578125" style="554" customWidth="1"/>
    <col min="769" max="769" width="3.7109375" style="554" customWidth="1"/>
    <col min="770" max="770" width="57.140625" style="554" customWidth="1"/>
    <col min="771" max="771" width="13.7109375" style="554" customWidth="1"/>
    <col min="772" max="772" width="1.7109375" style="554" customWidth="1"/>
    <col min="773" max="773" width="13.7109375" style="554" customWidth="1"/>
    <col min="774" max="774" width="1.85546875" style="554" customWidth="1"/>
    <col min="775" max="775" width="13.7109375" style="554" customWidth="1"/>
    <col min="776" max="776" width="1.7109375" style="554" customWidth="1"/>
    <col min="777" max="777" width="13.7109375" style="554" customWidth="1"/>
    <col min="778" max="778" width="1.7109375" style="554" customWidth="1"/>
    <col min="779" max="779" width="14.28515625" style="554" customWidth="1"/>
    <col min="780" max="780" width="1.7109375" style="554" customWidth="1"/>
    <col min="781" max="781" width="14.28515625" style="554" customWidth="1"/>
    <col min="782" max="782" width="1.7109375" style="554" customWidth="1"/>
    <col min="783" max="783" width="14.28515625" style="554" customWidth="1"/>
    <col min="784" max="784" width="11" style="554" customWidth="1"/>
    <col min="785" max="785" width="9" style="554" customWidth="1"/>
    <col min="786" max="793" width="9.140625" style="554" customWidth="1"/>
    <col min="794" max="1024" width="11.42578125" style="554" customWidth="1"/>
    <col min="1025" max="1025" width="3.7109375" style="554" customWidth="1"/>
    <col min="1026" max="1026" width="57.140625" style="554" customWidth="1"/>
    <col min="1027" max="1027" width="13.7109375" style="554" customWidth="1"/>
    <col min="1028" max="1028" width="1.7109375" style="554" customWidth="1"/>
    <col min="1029" max="1029" width="13.7109375" style="554" customWidth="1"/>
    <col min="1030" max="1030" width="1.85546875" style="554" customWidth="1"/>
    <col min="1031" max="1031" width="13.7109375" style="554" customWidth="1"/>
    <col min="1032" max="1032" width="1.7109375" style="554" customWidth="1"/>
    <col min="1033" max="1033" width="13.7109375" style="554" customWidth="1"/>
    <col min="1034" max="1034" width="1.7109375" style="554" customWidth="1"/>
    <col min="1035" max="1035" width="14.28515625" style="554" customWidth="1"/>
    <col min="1036" max="1036" width="1.7109375" style="554" customWidth="1"/>
    <col min="1037" max="1037" width="14.28515625" style="554" customWidth="1"/>
    <col min="1038" max="1038" width="1.7109375" style="554" customWidth="1"/>
    <col min="1039" max="1039" width="14.28515625" style="554" customWidth="1"/>
    <col min="1040" max="1040" width="11" style="554" customWidth="1"/>
    <col min="1041" max="1041" width="9" style="554" customWidth="1"/>
    <col min="1042" max="1049" width="9.140625" style="554" customWidth="1"/>
    <col min="1050" max="1280" width="11.42578125" style="554" customWidth="1"/>
    <col min="1281" max="1281" width="3.7109375" style="554" customWidth="1"/>
    <col min="1282" max="1282" width="57.140625" style="554" customWidth="1"/>
    <col min="1283" max="1283" width="13.7109375" style="554" customWidth="1"/>
    <col min="1284" max="1284" width="1.7109375" style="554" customWidth="1"/>
    <col min="1285" max="1285" width="13.7109375" style="554" customWidth="1"/>
    <col min="1286" max="1286" width="1.85546875" style="554" customWidth="1"/>
    <col min="1287" max="1287" width="13.7109375" style="554" customWidth="1"/>
    <col min="1288" max="1288" width="1.7109375" style="554" customWidth="1"/>
    <col min="1289" max="1289" width="13.7109375" style="554" customWidth="1"/>
    <col min="1290" max="1290" width="1.7109375" style="554" customWidth="1"/>
    <col min="1291" max="1291" width="14.28515625" style="554" customWidth="1"/>
    <col min="1292" max="1292" width="1.7109375" style="554" customWidth="1"/>
    <col min="1293" max="1293" width="14.28515625" style="554" customWidth="1"/>
    <col min="1294" max="1294" width="1.7109375" style="554" customWidth="1"/>
    <col min="1295" max="1295" width="14.28515625" style="554" customWidth="1"/>
    <col min="1296" max="1296" width="11" style="554" customWidth="1"/>
    <col min="1297" max="1297" width="9" style="554" customWidth="1"/>
    <col min="1298" max="1305" width="9.140625" style="554" customWidth="1"/>
    <col min="1306" max="1536" width="11.42578125" style="554" customWidth="1"/>
    <col min="1537" max="1537" width="3.7109375" style="554" customWidth="1"/>
    <col min="1538" max="1538" width="57.140625" style="554" customWidth="1"/>
    <col min="1539" max="1539" width="13.7109375" style="554" customWidth="1"/>
    <col min="1540" max="1540" width="1.7109375" style="554" customWidth="1"/>
    <col min="1541" max="1541" width="13.7109375" style="554" customWidth="1"/>
    <col min="1542" max="1542" width="1.85546875" style="554" customWidth="1"/>
    <col min="1543" max="1543" width="13.7109375" style="554" customWidth="1"/>
    <col min="1544" max="1544" width="1.7109375" style="554" customWidth="1"/>
    <col min="1545" max="1545" width="13.7109375" style="554" customWidth="1"/>
    <col min="1546" max="1546" width="1.7109375" style="554" customWidth="1"/>
    <col min="1547" max="1547" width="14.28515625" style="554" customWidth="1"/>
    <col min="1548" max="1548" width="1.7109375" style="554" customWidth="1"/>
    <col min="1549" max="1549" width="14.28515625" style="554" customWidth="1"/>
    <col min="1550" max="1550" width="1.7109375" style="554" customWidth="1"/>
    <col min="1551" max="1551" width="14.28515625" style="554" customWidth="1"/>
    <col min="1552" max="1552" width="11" style="554" customWidth="1"/>
    <col min="1553" max="1553" width="9" style="554" customWidth="1"/>
    <col min="1554" max="1561" width="9.140625" style="554" customWidth="1"/>
    <col min="1562" max="1792" width="11.42578125" style="554" customWidth="1"/>
    <col min="1793" max="1793" width="3.7109375" style="554" customWidth="1"/>
    <col min="1794" max="1794" width="57.140625" style="554" customWidth="1"/>
    <col min="1795" max="1795" width="13.7109375" style="554" customWidth="1"/>
    <col min="1796" max="1796" width="1.7109375" style="554" customWidth="1"/>
    <col min="1797" max="1797" width="13.7109375" style="554" customWidth="1"/>
    <col min="1798" max="1798" width="1.85546875" style="554" customWidth="1"/>
    <col min="1799" max="1799" width="13.7109375" style="554" customWidth="1"/>
    <col min="1800" max="1800" width="1.7109375" style="554" customWidth="1"/>
    <col min="1801" max="1801" width="13.7109375" style="554" customWidth="1"/>
    <col min="1802" max="1802" width="1.7109375" style="554" customWidth="1"/>
    <col min="1803" max="1803" width="14.28515625" style="554" customWidth="1"/>
    <col min="1804" max="1804" width="1.7109375" style="554" customWidth="1"/>
    <col min="1805" max="1805" width="14.28515625" style="554" customWidth="1"/>
    <col min="1806" max="1806" width="1.7109375" style="554" customWidth="1"/>
    <col min="1807" max="1807" width="14.28515625" style="554" customWidth="1"/>
    <col min="1808" max="1808" width="11" style="554" customWidth="1"/>
    <col min="1809" max="1809" width="9" style="554" customWidth="1"/>
    <col min="1810" max="1817" width="9.140625" style="554" customWidth="1"/>
    <col min="1818" max="2048" width="11.42578125" style="554" customWidth="1"/>
    <col min="2049" max="2049" width="3.7109375" style="554" customWidth="1"/>
    <col min="2050" max="2050" width="57.140625" style="554" customWidth="1"/>
    <col min="2051" max="2051" width="13.7109375" style="554" customWidth="1"/>
    <col min="2052" max="2052" width="1.7109375" style="554" customWidth="1"/>
    <col min="2053" max="2053" width="13.7109375" style="554" customWidth="1"/>
    <col min="2054" max="2054" width="1.85546875" style="554" customWidth="1"/>
    <col min="2055" max="2055" width="13.7109375" style="554" customWidth="1"/>
    <col min="2056" max="2056" width="1.7109375" style="554" customWidth="1"/>
    <col min="2057" max="2057" width="13.7109375" style="554" customWidth="1"/>
    <col min="2058" max="2058" width="1.7109375" style="554" customWidth="1"/>
    <col min="2059" max="2059" width="14.28515625" style="554" customWidth="1"/>
    <col min="2060" max="2060" width="1.7109375" style="554" customWidth="1"/>
    <col min="2061" max="2061" width="14.28515625" style="554" customWidth="1"/>
    <col min="2062" max="2062" width="1.7109375" style="554" customWidth="1"/>
    <col min="2063" max="2063" width="14.28515625" style="554" customWidth="1"/>
    <col min="2064" max="2064" width="11" style="554" customWidth="1"/>
    <col min="2065" max="2065" width="9" style="554" customWidth="1"/>
    <col min="2066" max="2073" width="9.140625" style="554" customWidth="1"/>
    <col min="2074" max="2304" width="11.42578125" style="554" customWidth="1"/>
    <col min="2305" max="2305" width="3.7109375" style="554" customWidth="1"/>
    <col min="2306" max="2306" width="57.140625" style="554" customWidth="1"/>
    <col min="2307" max="2307" width="13.7109375" style="554" customWidth="1"/>
    <col min="2308" max="2308" width="1.7109375" style="554" customWidth="1"/>
    <col min="2309" max="2309" width="13.7109375" style="554" customWidth="1"/>
    <col min="2310" max="2310" width="1.85546875" style="554" customWidth="1"/>
    <col min="2311" max="2311" width="13.7109375" style="554" customWidth="1"/>
    <col min="2312" max="2312" width="1.7109375" style="554" customWidth="1"/>
    <col min="2313" max="2313" width="13.7109375" style="554" customWidth="1"/>
    <col min="2314" max="2314" width="1.7109375" style="554" customWidth="1"/>
    <col min="2315" max="2315" width="14.28515625" style="554" customWidth="1"/>
    <col min="2316" max="2316" width="1.7109375" style="554" customWidth="1"/>
    <col min="2317" max="2317" width="14.28515625" style="554" customWidth="1"/>
    <col min="2318" max="2318" width="1.7109375" style="554" customWidth="1"/>
    <col min="2319" max="2319" width="14.28515625" style="554" customWidth="1"/>
    <col min="2320" max="2320" width="11" style="554" customWidth="1"/>
    <col min="2321" max="2321" width="9" style="554" customWidth="1"/>
    <col min="2322" max="2329" width="9.140625" style="554" customWidth="1"/>
    <col min="2330" max="2560" width="11.42578125" style="554" customWidth="1"/>
    <col min="2561" max="2561" width="3.7109375" style="554" customWidth="1"/>
    <col min="2562" max="2562" width="57.140625" style="554" customWidth="1"/>
    <col min="2563" max="2563" width="13.7109375" style="554" customWidth="1"/>
    <col min="2564" max="2564" width="1.7109375" style="554" customWidth="1"/>
    <col min="2565" max="2565" width="13.7109375" style="554" customWidth="1"/>
    <col min="2566" max="2566" width="1.85546875" style="554" customWidth="1"/>
    <col min="2567" max="2567" width="13.7109375" style="554" customWidth="1"/>
    <col min="2568" max="2568" width="1.7109375" style="554" customWidth="1"/>
    <col min="2569" max="2569" width="13.7109375" style="554" customWidth="1"/>
    <col min="2570" max="2570" width="1.7109375" style="554" customWidth="1"/>
    <col min="2571" max="2571" width="14.28515625" style="554" customWidth="1"/>
    <col min="2572" max="2572" width="1.7109375" style="554" customWidth="1"/>
    <col min="2573" max="2573" width="14.28515625" style="554" customWidth="1"/>
    <col min="2574" max="2574" width="1.7109375" style="554" customWidth="1"/>
    <col min="2575" max="2575" width="14.28515625" style="554" customWidth="1"/>
    <col min="2576" max="2576" width="11" style="554" customWidth="1"/>
    <col min="2577" max="2577" width="9" style="554" customWidth="1"/>
    <col min="2578" max="2585" width="9.140625" style="554" customWidth="1"/>
    <col min="2586" max="2816" width="11.42578125" style="554" customWidth="1"/>
    <col min="2817" max="2817" width="3.7109375" style="554" customWidth="1"/>
    <col min="2818" max="2818" width="57.140625" style="554" customWidth="1"/>
    <col min="2819" max="2819" width="13.7109375" style="554" customWidth="1"/>
    <col min="2820" max="2820" width="1.7109375" style="554" customWidth="1"/>
    <col min="2821" max="2821" width="13.7109375" style="554" customWidth="1"/>
    <col min="2822" max="2822" width="1.85546875" style="554" customWidth="1"/>
    <col min="2823" max="2823" width="13.7109375" style="554" customWidth="1"/>
    <col min="2824" max="2824" width="1.7109375" style="554" customWidth="1"/>
    <col min="2825" max="2825" width="13.7109375" style="554" customWidth="1"/>
    <col min="2826" max="2826" width="1.7109375" style="554" customWidth="1"/>
    <col min="2827" max="2827" width="14.28515625" style="554" customWidth="1"/>
    <col min="2828" max="2828" width="1.7109375" style="554" customWidth="1"/>
    <col min="2829" max="2829" width="14.28515625" style="554" customWidth="1"/>
    <col min="2830" max="2830" width="1.7109375" style="554" customWidth="1"/>
    <col min="2831" max="2831" width="14.28515625" style="554" customWidth="1"/>
    <col min="2832" max="2832" width="11" style="554" customWidth="1"/>
    <col min="2833" max="2833" width="9" style="554" customWidth="1"/>
    <col min="2834" max="2841" width="9.140625" style="554" customWidth="1"/>
    <col min="2842" max="3072" width="11.42578125" style="554" customWidth="1"/>
    <col min="3073" max="3073" width="3.7109375" style="554" customWidth="1"/>
    <col min="3074" max="3074" width="57.140625" style="554" customWidth="1"/>
    <col min="3075" max="3075" width="13.7109375" style="554" customWidth="1"/>
    <col min="3076" max="3076" width="1.7109375" style="554" customWidth="1"/>
    <col min="3077" max="3077" width="13.7109375" style="554" customWidth="1"/>
    <col min="3078" max="3078" width="1.85546875" style="554" customWidth="1"/>
    <col min="3079" max="3079" width="13.7109375" style="554" customWidth="1"/>
    <col min="3080" max="3080" width="1.7109375" style="554" customWidth="1"/>
    <col min="3081" max="3081" width="13.7109375" style="554" customWidth="1"/>
    <col min="3082" max="3082" width="1.7109375" style="554" customWidth="1"/>
    <col min="3083" max="3083" width="14.28515625" style="554" customWidth="1"/>
    <col min="3084" max="3084" width="1.7109375" style="554" customWidth="1"/>
    <col min="3085" max="3085" width="14.28515625" style="554" customWidth="1"/>
    <col min="3086" max="3086" width="1.7109375" style="554" customWidth="1"/>
    <col min="3087" max="3087" width="14.28515625" style="554" customWidth="1"/>
    <col min="3088" max="3088" width="11" style="554" customWidth="1"/>
    <col min="3089" max="3089" width="9" style="554" customWidth="1"/>
    <col min="3090" max="3097" width="9.140625" style="554" customWidth="1"/>
    <col min="3098" max="3328" width="11.42578125" style="554" customWidth="1"/>
    <col min="3329" max="3329" width="3.7109375" style="554" customWidth="1"/>
    <col min="3330" max="3330" width="57.140625" style="554" customWidth="1"/>
    <col min="3331" max="3331" width="13.7109375" style="554" customWidth="1"/>
    <col min="3332" max="3332" width="1.7109375" style="554" customWidth="1"/>
    <col min="3333" max="3333" width="13.7109375" style="554" customWidth="1"/>
    <col min="3334" max="3334" width="1.85546875" style="554" customWidth="1"/>
    <col min="3335" max="3335" width="13.7109375" style="554" customWidth="1"/>
    <col min="3336" max="3336" width="1.7109375" style="554" customWidth="1"/>
    <col min="3337" max="3337" width="13.7109375" style="554" customWidth="1"/>
    <col min="3338" max="3338" width="1.7109375" style="554" customWidth="1"/>
    <col min="3339" max="3339" width="14.28515625" style="554" customWidth="1"/>
    <col min="3340" max="3340" width="1.7109375" style="554" customWidth="1"/>
    <col min="3341" max="3341" width="14.28515625" style="554" customWidth="1"/>
    <col min="3342" max="3342" width="1.7109375" style="554" customWidth="1"/>
    <col min="3343" max="3343" width="14.28515625" style="554" customWidth="1"/>
    <col min="3344" max="3344" width="11" style="554" customWidth="1"/>
    <col min="3345" max="3345" width="9" style="554" customWidth="1"/>
    <col min="3346" max="3353" width="9.140625" style="554" customWidth="1"/>
    <col min="3354" max="3584" width="11.42578125" style="554" customWidth="1"/>
    <col min="3585" max="3585" width="3.7109375" style="554" customWidth="1"/>
    <col min="3586" max="3586" width="57.140625" style="554" customWidth="1"/>
    <col min="3587" max="3587" width="13.7109375" style="554" customWidth="1"/>
    <col min="3588" max="3588" width="1.7109375" style="554" customWidth="1"/>
    <col min="3589" max="3589" width="13.7109375" style="554" customWidth="1"/>
    <col min="3590" max="3590" width="1.85546875" style="554" customWidth="1"/>
    <col min="3591" max="3591" width="13.7109375" style="554" customWidth="1"/>
    <col min="3592" max="3592" width="1.7109375" style="554" customWidth="1"/>
    <col min="3593" max="3593" width="13.7109375" style="554" customWidth="1"/>
    <col min="3594" max="3594" width="1.7109375" style="554" customWidth="1"/>
    <col min="3595" max="3595" width="14.28515625" style="554" customWidth="1"/>
    <col min="3596" max="3596" width="1.7109375" style="554" customWidth="1"/>
    <col min="3597" max="3597" width="14.28515625" style="554" customWidth="1"/>
    <col min="3598" max="3598" width="1.7109375" style="554" customWidth="1"/>
    <col min="3599" max="3599" width="14.28515625" style="554" customWidth="1"/>
    <col min="3600" max="3600" width="11" style="554" customWidth="1"/>
    <col min="3601" max="3601" width="9" style="554" customWidth="1"/>
    <col min="3602" max="3609" width="9.140625" style="554" customWidth="1"/>
    <col min="3610" max="3840" width="11.42578125" style="554" customWidth="1"/>
    <col min="3841" max="3841" width="3.7109375" style="554" customWidth="1"/>
    <col min="3842" max="3842" width="57.140625" style="554" customWidth="1"/>
    <col min="3843" max="3843" width="13.7109375" style="554" customWidth="1"/>
    <col min="3844" max="3844" width="1.7109375" style="554" customWidth="1"/>
    <col min="3845" max="3845" width="13.7109375" style="554" customWidth="1"/>
    <col min="3846" max="3846" width="1.85546875" style="554" customWidth="1"/>
    <col min="3847" max="3847" width="13.7109375" style="554" customWidth="1"/>
    <col min="3848" max="3848" width="1.7109375" style="554" customWidth="1"/>
    <col min="3849" max="3849" width="13.7109375" style="554" customWidth="1"/>
    <col min="3850" max="3850" width="1.7109375" style="554" customWidth="1"/>
    <col min="3851" max="3851" width="14.28515625" style="554" customWidth="1"/>
    <col min="3852" max="3852" width="1.7109375" style="554" customWidth="1"/>
    <col min="3853" max="3853" width="14.28515625" style="554" customWidth="1"/>
    <col min="3854" max="3854" width="1.7109375" style="554" customWidth="1"/>
    <col min="3855" max="3855" width="14.28515625" style="554" customWidth="1"/>
    <col min="3856" max="3856" width="11" style="554" customWidth="1"/>
    <col min="3857" max="3857" width="9" style="554" customWidth="1"/>
    <col min="3858" max="3865" width="9.140625" style="554" customWidth="1"/>
    <col min="3866" max="4096" width="11.42578125" style="554" customWidth="1"/>
    <col min="4097" max="4097" width="3.7109375" style="554" customWidth="1"/>
    <col min="4098" max="4098" width="57.140625" style="554" customWidth="1"/>
    <col min="4099" max="4099" width="13.7109375" style="554" customWidth="1"/>
    <col min="4100" max="4100" width="1.7109375" style="554" customWidth="1"/>
    <col min="4101" max="4101" width="13.7109375" style="554" customWidth="1"/>
    <col min="4102" max="4102" width="1.85546875" style="554" customWidth="1"/>
    <col min="4103" max="4103" width="13.7109375" style="554" customWidth="1"/>
    <col min="4104" max="4104" width="1.7109375" style="554" customWidth="1"/>
    <col min="4105" max="4105" width="13.7109375" style="554" customWidth="1"/>
    <col min="4106" max="4106" width="1.7109375" style="554" customWidth="1"/>
    <col min="4107" max="4107" width="14.28515625" style="554" customWidth="1"/>
    <col min="4108" max="4108" width="1.7109375" style="554" customWidth="1"/>
    <col min="4109" max="4109" width="14.28515625" style="554" customWidth="1"/>
    <col min="4110" max="4110" width="1.7109375" style="554" customWidth="1"/>
    <col min="4111" max="4111" width="14.28515625" style="554" customWidth="1"/>
    <col min="4112" max="4112" width="11" style="554" customWidth="1"/>
    <col min="4113" max="4113" width="9" style="554" customWidth="1"/>
    <col min="4114" max="4121" width="9.140625" style="554" customWidth="1"/>
    <col min="4122" max="4352" width="11.42578125" style="554" customWidth="1"/>
    <col min="4353" max="4353" width="3.7109375" style="554" customWidth="1"/>
    <col min="4354" max="4354" width="57.140625" style="554" customWidth="1"/>
    <col min="4355" max="4355" width="13.7109375" style="554" customWidth="1"/>
    <col min="4356" max="4356" width="1.7109375" style="554" customWidth="1"/>
    <col min="4357" max="4357" width="13.7109375" style="554" customWidth="1"/>
    <col min="4358" max="4358" width="1.85546875" style="554" customWidth="1"/>
    <col min="4359" max="4359" width="13.7109375" style="554" customWidth="1"/>
    <col min="4360" max="4360" width="1.7109375" style="554" customWidth="1"/>
    <col min="4361" max="4361" width="13.7109375" style="554" customWidth="1"/>
    <col min="4362" max="4362" width="1.7109375" style="554" customWidth="1"/>
    <col min="4363" max="4363" width="14.28515625" style="554" customWidth="1"/>
    <col min="4364" max="4364" width="1.7109375" style="554" customWidth="1"/>
    <col min="4365" max="4365" width="14.28515625" style="554" customWidth="1"/>
    <col min="4366" max="4366" width="1.7109375" style="554" customWidth="1"/>
    <col min="4367" max="4367" width="14.28515625" style="554" customWidth="1"/>
    <col min="4368" max="4368" width="11" style="554" customWidth="1"/>
    <col min="4369" max="4369" width="9" style="554" customWidth="1"/>
    <col min="4370" max="4377" width="9.140625" style="554" customWidth="1"/>
    <col min="4378" max="4608" width="11.42578125" style="554" customWidth="1"/>
    <col min="4609" max="4609" width="3.7109375" style="554" customWidth="1"/>
    <col min="4610" max="4610" width="57.140625" style="554" customWidth="1"/>
    <col min="4611" max="4611" width="13.7109375" style="554" customWidth="1"/>
    <col min="4612" max="4612" width="1.7109375" style="554" customWidth="1"/>
    <col min="4613" max="4613" width="13.7109375" style="554" customWidth="1"/>
    <col min="4614" max="4614" width="1.85546875" style="554" customWidth="1"/>
    <col min="4615" max="4615" width="13.7109375" style="554" customWidth="1"/>
    <col min="4616" max="4616" width="1.7109375" style="554" customWidth="1"/>
    <col min="4617" max="4617" width="13.7109375" style="554" customWidth="1"/>
    <col min="4618" max="4618" width="1.7109375" style="554" customWidth="1"/>
    <col min="4619" max="4619" width="14.28515625" style="554" customWidth="1"/>
    <col min="4620" max="4620" width="1.7109375" style="554" customWidth="1"/>
    <col min="4621" max="4621" width="14.28515625" style="554" customWidth="1"/>
    <col min="4622" max="4622" width="1.7109375" style="554" customWidth="1"/>
    <col min="4623" max="4623" width="14.28515625" style="554" customWidth="1"/>
    <col min="4624" max="4624" width="11" style="554" customWidth="1"/>
    <col min="4625" max="4625" width="9" style="554" customWidth="1"/>
    <col min="4626" max="4633" width="9.140625" style="554" customWidth="1"/>
    <col min="4634" max="4864" width="11.42578125" style="554" customWidth="1"/>
    <col min="4865" max="4865" width="3.7109375" style="554" customWidth="1"/>
    <col min="4866" max="4866" width="57.140625" style="554" customWidth="1"/>
    <col min="4867" max="4867" width="13.7109375" style="554" customWidth="1"/>
    <col min="4868" max="4868" width="1.7109375" style="554" customWidth="1"/>
    <col min="4869" max="4869" width="13.7109375" style="554" customWidth="1"/>
    <col min="4870" max="4870" width="1.85546875" style="554" customWidth="1"/>
    <col min="4871" max="4871" width="13.7109375" style="554" customWidth="1"/>
    <col min="4872" max="4872" width="1.7109375" style="554" customWidth="1"/>
    <col min="4873" max="4873" width="13.7109375" style="554" customWidth="1"/>
    <col min="4874" max="4874" width="1.7109375" style="554" customWidth="1"/>
    <col min="4875" max="4875" width="14.28515625" style="554" customWidth="1"/>
    <col min="4876" max="4876" width="1.7109375" style="554" customWidth="1"/>
    <col min="4877" max="4877" width="14.28515625" style="554" customWidth="1"/>
    <col min="4878" max="4878" width="1.7109375" style="554" customWidth="1"/>
    <col min="4879" max="4879" width="14.28515625" style="554" customWidth="1"/>
    <col min="4880" max="4880" width="11" style="554" customWidth="1"/>
    <col min="4881" max="4881" width="9" style="554" customWidth="1"/>
    <col min="4882" max="4889" width="9.140625" style="554" customWidth="1"/>
    <col min="4890" max="5120" width="11.42578125" style="554" customWidth="1"/>
    <col min="5121" max="5121" width="3.7109375" style="554" customWidth="1"/>
    <col min="5122" max="5122" width="57.140625" style="554" customWidth="1"/>
    <col min="5123" max="5123" width="13.7109375" style="554" customWidth="1"/>
    <col min="5124" max="5124" width="1.7109375" style="554" customWidth="1"/>
    <col min="5125" max="5125" width="13.7109375" style="554" customWidth="1"/>
    <col min="5126" max="5126" width="1.85546875" style="554" customWidth="1"/>
    <col min="5127" max="5127" width="13.7109375" style="554" customWidth="1"/>
    <col min="5128" max="5128" width="1.7109375" style="554" customWidth="1"/>
    <col min="5129" max="5129" width="13.7109375" style="554" customWidth="1"/>
    <col min="5130" max="5130" width="1.7109375" style="554" customWidth="1"/>
    <col min="5131" max="5131" width="14.28515625" style="554" customWidth="1"/>
    <col min="5132" max="5132" width="1.7109375" style="554" customWidth="1"/>
    <col min="5133" max="5133" width="14.28515625" style="554" customWidth="1"/>
    <col min="5134" max="5134" width="1.7109375" style="554" customWidth="1"/>
    <col min="5135" max="5135" width="14.28515625" style="554" customWidth="1"/>
    <col min="5136" max="5136" width="11" style="554" customWidth="1"/>
    <col min="5137" max="5137" width="9" style="554" customWidth="1"/>
    <col min="5138" max="5145" width="9.140625" style="554" customWidth="1"/>
    <col min="5146" max="5376" width="11.42578125" style="554" customWidth="1"/>
    <col min="5377" max="5377" width="3.7109375" style="554" customWidth="1"/>
    <col min="5378" max="5378" width="57.140625" style="554" customWidth="1"/>
    <col min="5379" max="5379" width="13.7109375" style="554" customWidth="1"/>
    <col min="5380" max="5380" width="1.7109375" style="554" customWidth="1"/>
    <col min="5381" max="5381" width="13.7109375" style="554" customWidth="1"/>
    <col min="5382" max="5382" width="1.85546875" style="554" customWidth="1"/>
    <col min="5383" max="5383" width="13.7109375" style="554" customWidth="1"/>
    <col min="5384" max="5384" width="1.7109375" style="554" customWidth="1"/>
    <col min="5385" max="5385" width="13.7109375" style="554" customWidth="1"/>
    <col min="5386" max="5386" width="1.7109375" style="554" customWidth="1"/>
    <col min="5387" max="5387" width="14.28515625" style="554" customWidth="1"/>
    <col min="5388" max="5388" width="1.7109375" style="554" customWidth="1"/>
    <col min="5389" max="5389" width="14.28515625" style="554" customWidth="1"/>
    <col min="5390" max="5390" width="1.7109375" style="554" customWidth="1"/>
    <col min="5391" max="5391" width="14.28515625" style="554" customWidth="1"/>
    <col min="5392" max="5392" width="11" style="554" customWidth="1"/>
    <col min="5393" max="5393" width="9" style="554" customWidth="1"/>
    <col min="5394" max="5401" width="9.140625" style="554" customWidth="1"/>
    <col min="5402" max="5632" width="11.42578125" style="554" customWidth="1"/>
    <col min="5633" max="5633" width="3.7109375" style="554" customWidth="1"/>
    <col min="5634" max="5634" width="57.140625" style="554" customWidth="1"/>
    <col min="5635" max="5635" width="13.7109375" style="554" customWidth="1"/>
    <col min="5636" max="5636" width="1.7109375" style="554" customWidth="1"/>
    <col min="5637" max="5637" width="13.7109375" style="554" customWidth="1"/>
    <col min="5638" max="5638" width="1.85546875" style="554" customWidth="1"/>
    <col min="5639" max="5639" width="13.7109375" style="554" customWidth="1"/>
    <col min="5640" max="5640" width="1.7109375" style="554" customWidth="1"/>
    <col min="5641" max="5641" width="13.7109375" style="554" customWidth="1"/>
    <col min="5642" max="5642" width="1.7109375" style="554" customWidth="1"/>
    <col min="5643" max="5643" width="14.28515625" style="554" customWidth="1"/>
    <col min="5644" max="5644" width="1.7109375" style="554" customWidth="1"/>
    <col min="5645" max="5645" width="14.28515625" style="554" customWidth="1"/>
    <col min="5646" max="5646" width="1.7109375" style="554" customWidth="1"/>
    <col min="5647" max="5647" width="14.28515625" style="554" customWidth="1"/>
    <col min="5648" max="5648" width="11" style="554" customWidth="1"/>
    <col min="5649" max="5649" width="9" style="554" customWidth="1"/>
    <col min="5650" max="5657" width="9.140625" style="554" customWidth="1"/>
    <col min="5658" max="5888" width="11.42578125" style="554" customWidth="1"/>
    <col min="5889" max="5889" width="3.7109375" style="554" customWidth="1"/>
    <col min="5890" max="5890" width="57.140625" style="554" customWidth="1"/>
    <col min="5891" max="5891" width="13.7109375" style="554" customWidth="1"/>
    <col min="5892" max="5892" width="1.7109375" style="554" customWidth="1"/>
    <col min="5893" max="5893" width="13.7109375" style="554" customWidth="1"/>
    <col min="5894" max="5894" width="1.85546875" style="554" customWidth="1"/>
    <col min="5895" max="5895" width="13.7109375" style="554" customWidth="1"/>
    <col min="5896" max="5896" width="1.7109375" style="554" customWidth="1"/>
    <col min="5897" max="5897" width="13.7109375" style="554" customWidth="1"/>
    <col min="5898" max="5898" width="1.7109375" style="554" customWidth="1"/>
    <col min="5899" max="5899" width="14.28515625" style="554" customWidth="1"/>
    <col min="5900" max="5900" width="1.7109375" style="554" customWidth="1"/>
    <col min="5901" max="5901" width="14.28515625" style="554" customWidth="1"/>
    <col min="5902" max="5902" width="1.7109375" style="554" customWidth="1"/>
    <col min="5903" max="5903" width="14.28515625" style="554" customWidth="1"/>
    <col min="5904" max="5904" width="11" style="554" customWidth="1"/>
    <col min="5905" max="5905" width="9" style="554" customWidth="1"/>
    <col min="5906" max="5913" width="9.140625" style="554" customWidth="1"/>
    <col min="5914" max="6144" width="11.42578125" style="554" customWidth="1"/>
    <col min="6145" max="6145" width="3.7109375" style="554" customWidth="1"/>
    <col min="6146" max="6146" width="57.140625" style="554" customWidth="1"/>
    <col min="6147" max="6147" width="13.7109375" style="554" customWidth="1"/>
    <col min="6148" max="6148" width="1.7109375" style="554" customWidth="1"/>
    <col min="6149" max="6149" width="13.7109375" style="554" customWidth="1"/>
    <col min="6150" max="6150" width="1.85546875" style="554" customWidth="1"/>
    <col min="6151" max="6151" width="13.7109375" style="554" customWidth="1"/>
    <col min="6152" max="6152" width="1.7109375" style="554" customWidth="1"/>
    <col min="6153" max="6153" width="13.7109375" style="554" customWidth="1"/>
    <col min="6154" max="6154" width="1.7109375" style="554" customWidth="1"/>
    <col min="6155" max="6155" width="14.28515625" style="554" customWidth="1"/>
    <col min="6156" max="6156" width="1.7109375" style="554" customWidth="1"/>
    <col min="6157" max="6157" width="14.28515625" style="554" customWidth="1"/>
    <col min="6158" max="6158" width="1.7109375" style="554" customWidth="1"/>
    <col min="6159" max="6159" width="14.28515625" style="554" customWidth="1"/>
    <col min="6160" max="6160" width="11" style="554" customWidth="1"/>
    <col min="6161" max="6161" width="9" style="554" customWidth="1"/>
    <col min="6162" max="6169" width="9.140625" style="554" customWidth="1"/>
    <col min="6170" max="6400" width="11.42578125" style="554" customWidth="1"/>
    <col min="6401" max="6401" width="3.7109375" style="554" customWidth="1"/>
    <col min="6402" max="6402" width="57.140625" style="554" customWidth="1"/>
    <col min="6403" max="6403" width="13.7109375" style="554" customWidth="1"/>
    <col min="6404" max="6404" width="1.7109375" style="554" customWidth="1"/>
    <col min="6405" max="6405" width="13.7109375" style="554" customWidth="1"/>
    <col min="6406" max="6406" width="1.85546875" style="554" customWidth="1"/>
    <col min="6407" max="6407" width="13.7109375" style="554" customWidth="1"/>
    <col min="6408" max="6408" width="1.7109375" style="554" customWidth="1"/>
    <col min="6409" max="6409" width="13.7109375" style="554" customWidth="1"/>
    <col min="6410" max="6410" width="1.7109375" style="554" customWidth="1"/>
    <col min="6411" max="6411" width="14.28515625" style="554" customWidth="1"/>
    <col min="6412" max="6412" width="1.7109375" style="554" customWidth="1"/>
    <col min="6413" max="6413" width="14.28515625" style="554" customWidth="1"/>
    <col min="6414" max="6414" width="1.7109375" style="554" customWidth="1"/>
    <col min="6415" max="6415" width="14.28515625" style="554" customWidth="1"/>
    <col min="6416" max="6416" width="11" style="554" customWidth="1"/>
    <col min="6417" max="6417" width="9" style="554" customWidth="1"/>
    <col min="6418" max="6425" width="9.140625" style="554" customWidth="1"/>
    <col min="6426" max="6656" width="11.42578125" style="554" customWidth="1"/>
    <col min="6657" max="6657" width="3.7109375" style="554" customWidth="1"/>
    <col min="6658" max="6658" width="57.140625" style="554" customWidth="1"/>
    <col min="6659" max="6659" width="13.7109375" style="554" customWidth="1"/>
    <col min="6660" max="6660" width="1.7109375" style="554" customWidth="1"/>
    <col min="6661" max="6661" width="13.7109375" style="554" customWidth="1"/>
    <col min="6662" max="6662" width="1.85546875" style="554" customWidth="1"/>
    <col min="6663" max="6663" width="13.7109375" style="554" customWidth="1"/>
    <col min="6664" max="6664" width="1.7109375" style="554" customWidth="1"/>
    <col min="6665" max="6665" width="13.7109375" style="554" customWidth="1"/>
    <col min="6666" max="6666" width="1.7109375" style="554" customWidth="1"/>
    <col min="6667" max="6667" width="14.28515625" style="554" customWidth="1"/>
    <col min="6668" max="6668" width="1.7109375" style="554" customWidth="1"/>
    <col min="6669" max="6669" width="14.28515625" style="554" customWidth="1"/>
    <col min="6670" max="6670" width="1.7109375" style="554" customWidth="1"/>
    <col min="6671" max="6671" width="14.28515625" style="554" customWidth="1"/>
    <col min="6672" max="6672" width="11" style="554" customWidth="1"/>
    <col min="6673" max="6673" width="9" style="554" customWidth="1"/>
    <col min="6674" max="6681" width="9.140625" style="554" customWidth="1"/>
    <col min="6682" max="6912" width="11.42578125" style="554" customWidth="1"/>
    <col min="6913" max="6913" width="3.7109375" style="554" customWidth="1"/>
    <col min="6914" max="6914" width="57.140625" style="554" customWidth="1"/>
    <col min="6915" max="6915" width="13.7109375" style="554" customWidth="1"/>
    <col min="6916" max="6916" width="1.7109375" style="554" customWidth="1"/>
    <col min="6917" max="6917" width="13.7109375" style="554" customWidth="1"/>
    <col min="6918" max="6918" width="1.85546875" style="554" customWidth="1"/>
    <col min="6919" max="6919" width="13.7109375" style="554" customWidth="1"/>
    <col min="6920" max="6920" width="1.7109375" style="554" customWidth="1"/>
    <col min="6921" max="6921" width="13.7109375" style="554" customWidth="1"/>
    <col min="6922" max="6922" width="1.7109375" style="554" customWidth="1"/>
    <col min="6923" max="6923" width="14.28515625" style="554" customWidth="1"/>
    <col min="6924" max="6924" width="1.7109375" style="554" customWidth="1"/>
    <col min="6925" max="6925" width="14.28515625" style="554" customWidth="1"/>
    <col min="6926" max="6926" width="1.7109375" style="554" customWidth="1"/>
    <col min="6927" max="6927" width="14.28515625" style="554" customWidth="1"/>
    <col min="6928" max="6928" width="11" style="554" customWidth="1"/>
    <col min="6929" max="6929" width="9" style="554" customWidth="1"/>
    <col min="6930" max="6937" width="9.140625" style="554" customWidth="1"/>
    <col min="6938" max="7168" width="11.42578125" style="554" customWidth="1"/>
    <col min="7169" max="7169" width="3.7109375" style="554" customWidth="1"/>
    <col min="7170" max="7170" width="57.140625" style="554" customWidth="1"/>
    <col min="7171" max="7171" width="13.7109375" style="554" customWidth="1"/>
    <col min="7172" max="7172" width="1.7109375" style="554" customWidth="1"/>
    <col min="7173" max="7173" width="13.7109375" style="554" customWidth="1"/>
    <col min="7174" max="7174" width="1.85546875" style="554" customWidth="1"/>
    <col min="7175" max="7175" width="13.7109375" style="554" customWidth="1"/>
    <col min="7176" max="7176" width="1.7109375" style="554" customWidth="1"/>
    <col min="7177" max="7177" width="13.7109375" style="554" customWidth="1"/>
    <col min="7178" max="7178" width="1.7109375" style="554" customWidth="1"/>
    <col min="7179" max="7179" width="14.28515625" style="554" customWidth="1"/>
    <col min="7180" max="7180" width="1.7109375" style="554" customWidth="1"/>
    <col min="7181" max="7181" width="14.28515625" style="554" customWidth="1"/>
    <col min="7182" max="7182" width="1.7109375" style="554" customWidth="1"/>
    <col min="7183" max="7183" width="14.28515625" style="554" customWidth="1"/>
    <col min="7184" max="7184" width="11" style="554" customWidth="1"/>
    <col min="7185" max="7185" width="9" style="554" customWidth="1"/>
    <col min="7186" max="7193" width="9.140625" style="554" customWidth="1"/>
    <col min="7194" max="7424" width="11.42578125" style="554" customWidth="1"/>
    <col min="7425" max="7425" width="3.7109375" style="554" customWidth="1"/>
    <col min="7426" max="7426" width="57.140625" style="554" customWidth="1"/>
    <col min="7427" max="7427" width="13.7109375" style="554" customWidth="1"/>
    <col min="7428" max="7428" width="1.7109375" style="554" customWidth="1"/>
    <col min="7429" max="7429" width="13.7109375" style="554" customWidth="1"/>
    <col min="7430" max="7430" width="1.85546875" style="554" customWidth="1"/>
    <col min="7431" max="7431" width="13.7109375" style="554" customWidth="1"/>
    <col min="7432" max="7432" width="1.7109375" style="554" customWidth="1"/>
    <col min="7433" max="7433" width="13.7109375" style="554" customWidth="1"/>
    <col min="7434" max="7434" width="1.7109375" style="554" customWidth="1"/>
    <col min="7435" max="7435" width="14.28515625" style="554" customWidth="1"/>
    <col min="7436" max="7436" width="1.7109375" style="554" customWidth="1"/>
    <col min="7437" max="7437" width="14.28515625" style="554" customWidth="1"/>
    <col min="7438" max="7438" width="1.7109375" style="554" customWidth="1"/>
    <col min="7439" max="7439" width="14.28515625" style="554" customWidth="1"/>
    <col min="7440" max="7440" width="11" style="554" customWidth="1"/>
    <col min="7441" max="7441" width="9" style="554" customWidth="1"/>
    <col min="7442" max="7449" width="9.140625" style="554" customWidth="1"/>
    <col min="7450" max="7680" width="11.42578125" style="554" customWidth="1"/>
    <col min="7681" max="7681" width="3.7109375" style="554" customWidth="1"/>
    <col min="7682" max="7682" width="57.140625" style="554" customWidth="1"/>
    <col min="7683" max="7683" width="13.7109375" style="554" customWidth="1"/>
    <col min="7684" max="7684" width="1.7109375" style="554" customWidth="1"/>
    <col min="7685" max="7685" width="13.7109375" style="554" customWidth="1"/>
    <col min="7686" max="7686" width="1.85546875" style="554" customWidth="1"/>
    <col min="7687" max="7687" width="13.7109375" style="554" customWidth="1"/>
    <col min="7688" max="7688" width="1.7109375" style="554" customWidth="1"/>
    <col min="7689" max="7689" width="13.7109375" style="554" customWidth="1"/>
    <col min="7690" max="7690" width="1.7109375" style="554" customWidth="1"/>
    <col min="7691" max="7691" width="14.28515625" style="554" customWidth="1"/>
    <col min="7692" max="7692" width="1.7109375" style="554" customWidth="1"/>
    <col min="7693" max="7693" width="14.28515625" style="554" customWidth="1"/>
    <col min="7694" max="7694" width="1.7109375" style="554" customWidth="1"/>
    <col min="7695" max="7695" width="14.28515625" style="554" customWidth="1"/>
    <col min="7696" max="7696" width="11" style="554" customWidth="1"/>
    <col min="7697" max="7697" width="9" style="554" customWidth="1"/>
    <col min="7698" max="7705" width="9.140625" style="554" customWidth="1"/>
    <col min="7706" max="7936" width="11.42578125" style="554" customWidth="1"/>
    <col min="7937" max="7937" width="3.7109375" style="554" customWidth="1"/>
    <col min="7938" max="7938" width="57.140625" style="554" customWidth="1"/>
    <col min="7939" max="7939" width="13.7109375" style="554" customWidth="1"/>
    <col min="7940" max="7940" width="1.7109375" style="554" customWidth="1"/>
    <col min="7941" max="7941" width="13.7109375" style="554" customWidth="1"/>
    <col min="7942" max="7942" width="1.85546875" style="554" customWidth="1"/>
    <col min="7943" max="7943" width="13.7109375" style="554" customWidth="1"/>
    <col min="7944" max="7944" width="1.7109375" style="554" customWidth="1"/>
    <col min="7945" max="7945" width="13.7109375" style="554" customWidth="1"/>
    <col min="7946" max="7946" width="1.7109375" style="554" customWidth="1"/>
    <col min="7947" max="7947" width="14.28515625" style="554" customWidth="1"/>
    <col min="7948" max="7948" width="1.7109375" style="554" customWidth="1"/>
    <col min="7949" max="7949" width="14.28515625" style="554" customWidth="1"/>
    <col min="7950" max="7950" width="1.7109375" style="554" customWidth="1"/>
    <col min="7951" max="7951" width="14.28515625" style="554" customWidth="1"/>
    <col min="7952" max="7952" width="11" style="554" customWidth="1"/>
    <col min="7953" max="7953" width="9" style="554" customWidth="1"/>
    <col min="7954" max="7961" width="9.140625" style="554" customWidth="1"/>
    <col min="7962" max="8192" width="11.42578125" style="554" customWidth="1"/>
    <col min="8193" max="8193" width="3.7109375" style="554" customWidth="1"/>
    <col min="8194" max="8194" width="57.140625" style="554" customWidth="1"/>
    <col min="8195" max="8195" width="13.7109375" style="554" customWidth="1"/>
    <col min="8196" max="8196" width="1.7109375" style="554" customWidth="1"/>
    <col min="8197" max="8197" width="13.7109375" style="554" customWidth="1"/>
    <col min="8198" max="8198" width="1.85546875" style="554" customWidth="1"/>
    <col min="8199" max="8199" width="13.7109375" style="554" customWidth="1"/>
    <col min="8200" max="8200" width="1.7109375" style="554" customWidth="1"/>
    <col min="8201" max="8201" width="13.7109375" style="554" customWidth="1"/>
    <col min="8202" max="8202" width="1.7109375" style="554" customWidth="1"/>
    <col min="8203" max="8203" width="14.28515625" style="554" customWidth="1"/>
    <col min="8204" max="8204" width="1.7109375" style="554" customWidth="1"/>
    <col min="8205" max="8205" width="14.28515625" style="554" customWidth="1"/>
    <col min="8206" max="8206" width="1.7109375" style="554" customWidth="1"/>
    <col min="8207" max="8207" width="14.28515625" style="554" customWidth="1"/>
    <col min="8208" max="8208" width="11" style="554" customWidth="1"/>
    <col min="8209" max="8209" width="9" style="554" customWidth="1"/>
    <col min="8210" max="8217" width="9.140625" style="554" customWidth="1"/>
    <col min="8218" max="8448" width="11.42578125" style="554" customWidth="1"/>
    <col min="8449" max="8449" width="3.7109375" style="554" customWidth="1"/>
    <col min="8450" max="8450" width="57.140625" style="554" customWidth="1"/>
    <col min="8451" max="8451" width="13.7109375" style="554" customWidth="1"/>
    <col min="8452" max="8452" width="1.7109375" style="554" customWidth="1"/>
    <col min="8453" max="8453" width="13.7109375" style="554" customWidth="1"/>
    <col min="8454" max="8454" width="1.85546875" style="554" customWidth="1"/>
    <col min="8455" max="8455" width="13.7109375" style="554" customWidth="1"/>
    <col min="8456" max="8456" width="1.7109375" style="554" customWidth="1"/>
    <col min="8457" max="8457" width="13.7109375" style="554" customWidth="1"/>
    <col min="8458" max="8458" width="1.7109375" style="554" customWidth="1"/>
    <col min="8459" max="8459" width="14.28515625" style="554" customWidth="1"/>
    <col min="8460" max="8460" width="1.7109375" style="554" customWidth="1"/>
    <col min="8461" max="8461" width="14.28515625" style="554" customWidth="1"/>
    <col min="8462" max="8462" width="1.7109375" style="554" customWidth="1"/>
    <col min="8463" max="8463" width="14.28515625" style="554" customWidth="1"/>
    <col min="8464" max="8464" width="11" style="554" customWidth="1"/>
    <col min="8465" max="8465" width="9" style="554" customWidth="1"/>
    <col min="8466" max="8473" width="9.140625" style="554" customWidth="1"/>
    <col min="8474" max="8704" width="11.42578125" style="554" customWidth="1"/>
    <col min="8705" max="8705" width="3.7109375" style="554" customWidth="1"/>
    <col min="8706" max="8706" width="57.140625" style="554" customWidth="1"/>
    <col min="8707" max="8707" width="13.7109375" style="554" customWidth="1"/>
    <col min="8708" max="8708" width="1.7109375" style="554" customWidth="1"/>
    <col min="8709" max="8709" width="13.7109375" style="554" customWidth="1"/>
    <col min="8710" max="8710" width="1.85546875" style="554" customWidth="1"/>
    <col min="8711" max="8711" width="13.7109375" style="554" customWidth="1"/>
    <col min="8712" max="8712" width="1.7109375" style="554" customWidth="1"/>
    <col min="8713" max="8713" width="13.7109375" style="554" customWidth="1"/>
    <col min="8714" max="8714" width="1.7109375" style="554" customWidth="1"/>
    <col min="8715" max="8715" width="14.28515625" style="554" customWidth="1"/>
    <col min="8716" max="8716" width="1.7109375" style="554" customWidth="1"/>
    <col min="8717" max="8717" width="14.28515625" style="554" customWidth="1"/>
    <col min="8718" max="8718" width="1.7109375" style="554" customWidth="1"/>
    <col min="8719" max="8719" width="14.28515625" style="554" customWidth="1"/>
    <col min="8720" max="8720" width="11" style="554" customWidth="1"/>
    <col min="8721" max="8721" width="9" style="554" customWidth="1"/>
    <col min="8722" max="8729" width="9.140625" style="554" customWidth="1"/>
    <col min="8730" max="8960" width="11.42578125" style="554" customWidth="1"/>
    <col min="8961" max="8961" width="3.7109375" style="554" customWidth="1"/>
    <col min="8962" max="8962" width="57.140625" style="554" customWidth="1"/>
    <col min="8963" max="8963" width="13.7109375" style="554" customWidth="1"/>
    <col min="8964" max="8964" width="1.7109375" style="554" customWidth="1"/>
    <col min="8965" max="8965" width="13.7109375" style="554" customWidth="1"/>
    <col min="8966" max="8966" width="1.85546875" style="554" customWidth="1"/>
    <col min="8967" max="8967" width="13.7109375" style="554" customWidth="1"/>
    <col min="8968" max="8968" width="1.7109375" style="554" customWidth="1"/>
    <col min="8969" max="8969" width="13.7109375" style="554" customWidth="1"/>
    <col min="8970" max="8970" width="1.7109375" style="554" customWidth="1"/>
    <col min="8971" max="8971" width="14.28515625" style="554" customWidth="1"/>
    <col min="8972" max="8972" width="1.7109375" style="554" customWidth="1"/>
    <col min="8973" max="8973" width="14.28515625" style="554" customWidth="1"/>
    <col min="8974" max="8974" width="1.7109375" style="554" customWidth="1"/>
    <col min="8975" max="8975" width="14.28515625" style="554" customWidth="1"/>
    <col min="8976" max="8976" width="11" style="554" customWidth="1"/>
    <col min="8977" max="8977" width="9" style="554" customWidth="1"/>
    <col min="8978" max="8985" width="9.140625" style="554" customWidth="1"/>
    <col min="8986" max="9216" width="11.42578125" style="554" customWidth="1"/>
    <col min="9217" max="9217" width="3.7109375" style="554" customWidth="1"/>
    <col min="9218" max="9218" width="57.140625" style="554" customWidth="1"/>
    <col min="9219" max="9219" width="13.7109375" style="554" customWidth="1"/>
    <col min="9220" max="9220" width="1.7109375" style="554" customWidth="1"/>
    <col min="9221" max="9221" width="13.7109375" style="554" customWidth="1"/>
    <col min="9222" max="9222" width="1.85546875" style="554" customWidth="1"/>
    <col min="9223" max="9223" width="13.7109375" style="554" customWidth="1"/>
    <col min="9224" max="9224" width="1.7109375" style="554" customWidth="1"/>
    <col min="9225" max="9225" width="13.7109375" style="554" customWidth="1"/>
    <col min="9226" max="9226" width="1.7109375" style="554" customWidth="1"/>
    <col min="9227" max="9227" width="14.28515625" style="554" customWidth="1"/>
    <col min="9228" max="9228" width="1.7109375" style="554" customWidth="1"/>
    <col min="9229" max="9229" width="14.28515625" style="554" customWidth="1"/>
    <col min="9230" max="9230" width="1.7109375" style="554" customWidth="1"/>
    <col min="9231" max="9231" width="14.28515625" style="554" customWidth="1"/>
    <col min="9232" max="9232" width="11" style="554" customWidth="1"/>
    <col min="9233" max="9233" width="9" style="554" customWidth="1"/>
    <col min="9234" max="9241" width="9.140625" style="554" customWidth="1"/>
    <col min="9242" max="9472" width="11.42578125" style="554" customWidth="1"/>
    <col min="9473" max="9473" width="3.7109375" style="554" customWidth="1"/>
    <col min="9474" max="9474" width="57.140625" style="554" customWidth="1"/>
    <col min="9475" max="9475" width="13.7109375" style="554" customWidth="1"/>
    <col min="9476" max="9476" width="1.7109375" style="554" customWidth="1"/>
    <col min="9477" max="9477" width="13.7109375" style="554" customWidth="1"/>
    <col min="9478" max="9478" width="1.85546875" style="554" customWidth="1"/>
    <col min="9479" max="9479" width="13.7109375" style="554" customWidth="1"/>
    <col min="9480" max="9480" width="1.7109375" style="554" customWidth="1"/>
    <col min="9481" max="9481" width="13.7109375" style="554" customWidth="1"/>
    <col min="9482" max="9482" width="1.7109375" style="554" customWidth="1"/>
    <col min="9483" max="9483" width="14.28515625" style="554" customWidth="1"/>
    <col min="9484" max="9484" width="1.7109375" style="554" customWidth="1"/>
    <col min="9485" max="9485" width="14.28515625" style="554" customWidth="1"/>
    <col min="9486" max="9486" width="1.7109375" style="554" customWidth="1"/>
    <col min="9487" max="9487" width="14.28515625" style="554" customWidth="1"/>
    <col min="9488" max="9488" width="11" style="554" customWidth="1"/>
    <col min="9489" max="9489" width="9" style="554" customWidth="1"/>
    <col min="9490" max="9497" width="9.140625" style="554" customWidth="1"/>
    <col min="9498" max="9728" width="11.42578125" style="554" customWidth="1"/>
    <col min="9729" max="9729" width="3.7109375" style="554" customWidth="1"/>
    <col min="9730" max="9730" width="57.140625" style="554" customWidth="1"/>
    <col min="9731" max="9731" width="13.7109375" style="554" customWidth="1"/>
    <col min="9732" max="9732" width="1.7109375" style="554" customWidth="1"/>
    <col min="9733" max="9733" width="13.7109375" style="554" customWidth="1"/>
    <col min="9734" max="9734" width="1.85546875" style="554" customWidth="1"/>
    <col min="9735" max="9735" width="13.7109375" style="554" customWidth="1"/>
    <col min="9736" max="9736" width="1.7109375" style="554" customWidth="1"/>
    <col min="9737" max="9737" width="13.7109375" style="554" customWidth="1"/>
    <col min="9738" max="9738" width="1.7109375" style="554" customWidth="1"/>
    <col min="9739" max="9739" width="14.28515625" style="554" customWidth="1"/>
    <col min="9740" max="9740" width="1.7109375" style="554" customWidth="1"/>
    <col min="9741" max="9741" width="14.28515625" style="554" customWidth="1"/>
    <col min="9742" max="9742" width="1.7109375" style="554" customWidth="1"/>
    <col min="9743" max="9743" width="14.28515625" style="554" customWidth="1"/>
    <col min="9744" max="9744" width="11" style="554" customWidth="1"/>
    <col min="9745" max="9745" width="9" style="554" customWidth="1"/>
    <col min="9746" max="9753" width="9.140625" style="554" customWidth="1"/>
    <col min="9754" max="9984" width="11.42578125" style="554" customWidth="1"/>
    <col min="9985" max="9985" width="3.7109375" style="554" customWidth="1"/>
    <col min="9986" max="9986" width="57.140625" style="554" customWidth="1"/>
    <col min="9987" max="9987" width="13.7109375" style="554" customWidth="1"/>
    <col min="9988" max="9988" width="1.7109375" style="554" customWidth="1"/>
    <col min="9989" max="9989" width="13.7109375" style="554" customWidth="1"/>
    <col min="9990" max="9990" width="1.85546875" style="554" customWidth="1"/>
    <col min="9991" max="9991" width="13.7109375" style="554" customWidth="1"/>
    <col min="9992" max="9992" width="1.7109375" style="554" customWidth="1"/>
    <col min="9993" max="9993" width="13.7109375" style="554" customWidth="1"/>
    <col min="9994" max="9994" width="1.7109375" style="554" customWidth="1"/>
    <col min="9995" max="9995" width="14.28515625" style="554" customWidth="1"/>
    <col min="9996" max="9996" width="1.7109375" style="554" customWidth="1"/>
    <col min="9997" max="9997" width="14.28515625" style="554" customWidth="1"/>
    <col min="9998" max="9998" width="1.7109375" style="554" customWidth="1"/>
    <col min="9999" max="9999" width="14.28515625" style="554" customWidth="1"/>
    <col min="10000" max="10000" width="11" style="554" customWidth="1"/>
    <col min="10001" max="10001" width="9" style="554" customWidth="1"/>
    <col min="10002" max="10009" width="9.140625" style="554" customWidth="1"/>
    <col min="10010" max="10240" width="11.42578125" style="554" customWidth="1"/>
    <col min="10241" max="10241" width="3.7109375" style="554" customWidth="1"/>
    <col min="10242" max="10242" width="57.140625" style="554" customWidth="1"/>
    <col min="10243" max="10243" width="13.7109375" style="554" customWidth="1"/>
    <col min="10244" max="10244" width="1.7109375" style="554" customWidth="1"/>
    <col min="10245" max="10245" width="13.7109375" style="554" customWidth="1"/>
    <col min="10246" max="10246" width="1.85546875" style="554" customWidth="1"/>
    <col min="10247" max="10247" width="13.7109375" style="554" customWidth="1"/>
    <col min="10248" max="10248" width="1.7109375" style="554" customWidth="1"/>
    <col min="10249" max="10249" width="13.7109375" style="554" customWidth="1"/>
    <col min="10250" max="10250" width="1.7109375" style="554" customWidth="1"/>
    <col min="10251" max="10251" width="14.28515625" style="554" customWidth="1"/>
    <col min="10252" max="10252" width="1.7109375" style="554" customWidth="1"/>
    <col min="10253" max="10253" width="14.28515625" style="554" customWidth="1"/>
    <col min="10254" max="10254" width="1.7109375" style="554" customWidth="1"/>
    <col min="10255" max="10255" width="14.28515625" style="554" customWidth="1"/>
    <col min="10256" max="10256" width="11" style="554" customWidth="1"/>
    <col min="10257" max="10257" width="9" style="554" customWidth="1"/>
    <col min="10258" max="10265" width="9.140625" style="554" customWidth="1"/>
    <col min="10266" max="10496" width="11.42578125" style="554" customWidth="1"/>
    <col min="10497" max="10497" width="3.7109375" style="554" customWidth="1"/>
    <col min="10498" max="10498" width="57.140625" style="554" customWidth="1"/>
    <col min="10499" max="10499" width="13.7109375" style="554" customWidth="1"/>
    <col min="10500" max="10500" width="1.7109375" style="554" customWidth="1"/>
    <col min="10501" max="10501" width="13.7109375" style="554" customWidth="1"/>
    <col min="10502" max="10502" width="1.85546875" style="554" customWidth="1"/>
    <col min="10503" max="10503" width="13.7109375" style="554" customWidth="1"/>
    <col min="10504" max="10504" width="1.7109375" style="554" customWidth="1"/>
    <col min="10505" max="10505" width="13.7109375" style="554" customWidth="1"/>
    <col min="10506" max="10506" width="1.7109375" style="554" customWidth="1"/>
    <col min="10507" max="10507" width="14.28515625" style="554" customWidth="1"/>
    <col min="10508" max="10508" width="1.7109375" style="554" customWidth="1"/>
    <col min="10509" max="10509" width="14.28515625" style="554" customWidth="1"/>
    <col min="10510" max="10510" width="1.7109375" style="554" customWidth="1"/>
    <col min="10511" max="10511" width="14.28515625" style="554" customWidth="1"/>
    <col min="10512" max="10512" width="11" style="554" customWidth="1"/>
    <col min="10513" max="10513" width="9" style="554" customWidth="1"/>
    <col min="10514" max="10521" width="9.140625" style="554" customWidth="1"/>
    <col min="10522" max="10752" width="11.42578125" style="554" customWidth="1"/>
    <col min="10753" max="10753" width="3.7109375" style="554" customWidth="1"/>
    <col min="10754" max="10754" width="57.140625" style="554" customWidth="1"/>
    <col min="10755" max="10755" width="13.7109375" style="554" customWidth="1"/>
    <col min="10756" max="10756" width="1.7109375" style="554" customWidth="1"/>
    <col min="10757" max="10757" width="13.7109375" style="554" customWidth="1"/>
    <col min="10758" max="10758" width="1.85546875" style="554" customWidth="1"/>
    <col min="10759" max="10759" width="13.7109375" style="554" customWidth="1"/>
    <col min="10760" max="10760" width="1.7109375" style="554" customWidth="1"/>
    <col min="10761" max="10761" width="13.7109375" style="554" customWidth="1"/>
    <col min="10762" max="10762" width="1.7109375" style="554" customWidth="1"/>
    <col min="10763" max="10763" width="14.28515625" style="554" customWidth="1"/>
    <col min="10764" max="10764" width="1.7109375" style="554" customWidth="1"/>
    <col min="10765" max="10765" width="14.28515625" style="554" customWidth="1"/>
    <col min="10766" max="10766" width="1.7109375" style="554" customWidth="1"/>
    <col min="10767" max="10767" width="14.28515625" style="554" customWidth="1"/>
    <col min="10768" max="10768" width="11" style="554" customWidth="1"/>
    <col min="10769" max="10769" width="9" style="554" customWidth="1"/>
    <col min="10770" max="10777" width="9.140625" style="554" customWidth="1"/>
    <col min="10778" max="11008" width="11.42578125" style="554" customWidth="1"/>
    <col min="11009" max="11009" width="3.7109375" style="554" customWidth="1"/>
    <col min="11010" max="11010" width="57.140625" style="554" customWidth="1"/>
    <col min="11011" max="11011" width="13.7109375" style="554" customWidth="1"/>
    <col min="11012" max="11012" width="1.7109375" style="554" customWidth="1"/>
    <col min="11013" max="11013" width="13.7109375" style="554" customWidth="1"/>
    <col min="11014" max="11014" width="1.85546875" style="554" customWidth="1"/>
    <col min="11015" max="11015" width="13.7109375" style="554" customWidth="1"/>
    <col min="11016" max="11016" width="1.7109375" style="554" customWidth="1"/>
    <col min="11017" max="11017" width="13.7109375" style="554" customWidth="1"/>
    <col min="11018" max="11018" width="1.7109375" style="554" customWidth="1"/>
    <col min="11019" max="11019" width="14.28515625" style="554" customWidth="1"/>
    <col min="11020" max="11020" width="1.7109375" style="554" customWidth="1"/>
    <col min="11021" max="11021" width="14.28515625" style="554" customWidth="1"/>
    <col min="11022" max="11022" width="1.7109375" style="554" customWidth="1"/>
    <col min="11023" max="11023" width="14.28515625" style="554" customWidth="1"/>
    <col min="11024" max="11024" width="11" style="554" customWidth="1"/>
    <col min="11025" max="11025" width="9" style="554" customWidth="1"/>
    <col min="11026" max="11033" width="9.140625" style="554" customWidth="1"/>
    <col min="11034" max="11264" width="11.42578125" style="554" customWidth="1"/>
    <col min="11265" max="11265" width="3.7109375" style="554" customWidth="1"/>
    <col min="11266" max="11266" width="57.140625" style="554" customWidth="1"/>
    <col min="11267" max="11267" width="13.7109375" style="554" customWidth="1"/>
    <col min="11268" max="11268" width="1.7109375" style="554" customWidth="1"/>
    <col min="11269" max="11269" width="13.7109375" style="554" customWidth="1"/>
    <col min="11270" max="11270" width="1.85546875" style="554" customWidth="1"/>
    <col min="11271" max="11271" width="13.7109375" style="554" customWidth="1"/>
    <col min="11272" max="11272" width="1.7109375" style="554" customWidth="1"/>
    <col min="11273" max="11273" width="13.7109375" style="554" customWidth="1"/>
    <col min="11274" max="11274" width="1.7109375" style="554" customWidth="1"/>
    <col min="11275" max="11275" width="14.28515625" style="554" customWidth="1"/>
    <col min="11276" max="11276" width="1.7109375" style="554" customWidth="1"/>
    <col min="11277" max="11277" width="14.28515625" style="554" customWidth="1"/>
    <col min="11278" max="11278" width="1.7109375" style="554" customWidth="1"/>
    <col min="11279" max="11279" width="14.28515625" style="554" customWidth="1"/>
    <col min="11280" max="11280" width="11" style="554" customWidth="1"/>
    <col min="11281" max="11281" width="9" style="554" customWidth="1"/>
    <col min="11282" max="11289" width="9.140625" style="554" customWidth="1"/>
    <col min="11290" max="11520" width="11.42578125" style="554" customWidth="1"/>
    <col min="11521" max="11521" width="3.7109375" style="554" customWidth="1"/>
    <col min="11522" max="11522" width="57.140625" style="554" customWidth="1"/>
    <col min="11523" max="11523" width="13.7109375" style="554" customWidth="1"/>
    <col min="11524" max="11524" width="1.7109375" style="554" customWidth="1"/>
    <col min="11525" max="11525" width="13.7109375" style="554" customWidth="1"/>
    <col min="11526" max="11526" width="1.85546875" style="554" customWidth="1"/>
    <col min="11527" max="11527" width="13.7109375" style="554" customWidth="1"/>
    <col min="11528" max="11528" width="1.7109375" style="554" customWidth="1"/>
    <col min="11529" max="11529" width="13.7109375" style="554" customWidth="1"/>
    <col min="11530" max="11530" width="1.7109375" style="554" customWidth="1"/>
    <col min="11531" max="11531" width="14.28515625" style="554" customWidth="1"/>
    <col min="11532" max="11532" width="1.7109375" style="554" customWidth="1"/>
    <col min="11533" max="11533" width="14.28515625" style="554" customWidth="1"/>
    <col min="11534" max="11534" width="1.7109375" style="554" customWidth="1"/>
    <col min="11535" max="11535" width="14.28515625" style="554" customWidth="1"/>
    <col min="11536" max="11536" width="11" style="554" customWidth="1"/>
    <col min="11537" max="11537" width="9" style="554" customWidth="1"/>
    <col min="11538" max="11545" width="9.140625" style="554" customWidth="1"/>
    <col min="11546" max="11776" width="11.42578125" style="554" customWidth="1"/>
    <col min="11777" max="11777" width="3.7109375" style="554" customWidth="1"/>
    <col min="11778" max="11778" width="57.140625" style="554" customWidth="1"/>
    <col min="11779" max="11779" width="13.7109375" style="554" customWidth="1"/>
    <col min="11780" max="11780" width="1.7109375" style="554" customWidth="1"/>
    <col min="11781" max="11781" width="13.7109375" style="554" customWidth="1"/>
    <col min="11782" max="11782" width="1.85546875" style="554" customWidth="1"/>
    <col min="11783" max="11783" width="13.7109375" style="554" customWidth="1"/>
    <col min="11784" max="11784" width="1.7109375" style="554" customWidth="1"/>
    <col min="11785" max="11785" width="13.7109375" style="554" customWidth="1"/>
    <col min="11786" max="11786" width="1.7109375" style="554" customWidth="1"/>
    <col min="11787" max="11787" width="14.28515625" style="554" customWidth="1"/>
    <col min="11788" max="11788" width="1.7109375" style="554" customWidth="1"/>
    <col min="11789" max="11789" width="14.28515625" style="554" customWidth="1"/>
    <col min="11790" max="11790" width="1.7109375" style="554" customWidth="1"/>
    <col min="11791" max="11791" width="14.28515625" style="554" customWidth="1"/>
    <col min="11792" max="11792" width="11" style="554" customWidth="1"/>
    <col min="11793" max="11793" width="9" style="554" customWidth="1"/>
    <col min="11794" max="11801" width="9.140625" style="554" customWidth="1"/>
    <col min="11802" max="12032" width="11.42578125" style="554" customWidth="1"/>
    <col min="12033" max="12033" width="3.7109375" style="554" customWidth="1"/>
    <col min="12034" max="12034" width="57.140625" style="554" customWidth="1"/>
    <col min="12035" max="12035" width="13.7109375" style="554" customWidth="1"/>
    <col min="12036" max="12036" width="1.7109375" style="554" customWidth="1"/>
    <col min="12037" max="12037" width="13.7109375" style="554" customWidth="1"/>
    <col min="12038" max="12038" width="1.85546875" style="554" customWidth="1"/>
    <col min="12039" max="12039" width="13.7109375" style="554" customWidth="1"/>
    <col min="12040" max="12040" width="1.7109375" style="554" customWidth="1"/>
    <col min="12041" max="12041" width="13.7109375" style="554" customWidth="1"/>
    <col min="12042" max="12042" width="1.7109375" style="554" customWidth="1"/>
    <col min="12043" max="12043" width="14.28515625" style="554" customWidth="1"/>
    <col min="12044" max="12044" width="1.7109375" style="554" customWidth="1"/>
    <col min="12045" max="12045" width="14.28515625" style="554" customWidth="1"/>
    <col min="12046" max="12046" width="1.7109375" style="554" customWidth="1"/>
    <col min="12047" max="12047" width="14.28515625" style="554" customWidth="1"/>
    <col min="12048" max="12048" width="11" style="554" customWidth="1"/>
    <col min="12049" max="12049" width="9" style="554" customWidth="1"/>
    <col min="12050" max="12057" width="9.140625" style="554" customWidth="1"/>
    <col min="12058" max="12288" width="11.42578125" style="554" customWidth="1"/>
    <col min="12289" max="12289" width="3.7109375" style="554" customWidth="1"/>
    <col min="12290" max="12290" width="57.140625" style="554" customWidth="1"/>
    <col min="12291" max="12291" width="13.7109375" style="554" customWidth="1"/>
    <col min="12292" max="12292" width="1.7109375" style="554" customWidth="1"/>
    <col min="12293" max="12293" width="13.7109375" style="554" customWidth="1"/>
    <col min="12294" max="12294" width="1.85546875" style="554" customWidth="1"/>
    <col min="12295" max="12295" width="13.7109375" style="554" customWidth="1"/>
    <col min="12296" max="12296" width="1.7109375" style="554" customWidth="1"/>
    <col min="12297" max="12297" width="13.7109375" style="554" customWidth="1"/>
    <col min="12298" max="12298" width="1.7109375" style="554" customWidth="1"/>
    <col min="12299" max="12299" width="14.28515625" style="554" customWidth="1"/>
    <col min="12300" max="12300" width="1.7109375" style="554" customWidth="1"/>
    <col min="12301" max="12301" width="14.28515625" style="554" customWidth="1"/>
    <col min="12302" max="12302" width="1.7109375" style="554" customWidth="1"/>
    <col min="12303" max="12303" width="14.28515625" style="554" customWidth="1"/>
    <col min="12304" max="12304" width="11" style="554" customWidth="1"/>
    <col min="12305" max="12305" width="9" style="554" customWidth="1"/>
    <col min="12306" max="12313" width="9.140625" style="554" customWidth="1"/>
    <col min="12314" max="12544" width="11.42578125" style="554" customWidth="1"/>
    <col min="12545" max="12545" width="3.7109375" style="554" customWidth="1"/>
    <col min="12546" max="12546" width="57.140625" style="554" customWidth="1"/>
    <col min="12547" max="12547" width="13.7109375" style="554" customWidth="1"/>
    <col min="12548" max="12548" width="1.7109375" style="554" customWidth="1"/>
    <col min="12549" max="12549" width="13.7109375" style="554" customWidth="1"/>
    <col min="12550" max="12550" width="1.85546875" style="554" customWidth="1"/>
    <col min="12551" max="12551" width="13.7109375" style="554" customWidth="1"/>
    <col min="12552" max="12552" width="1.7109375" style="554" customWidth="1"/>
    <col min="12553" max="12553" width="13.7109375" style="554" customWidth="1"/>
    <col min="12554" max="12554" width="1.7109375" style="554" customWidth="1"/>
    <col min="12555" max="12555" width="14.28515625" style="554" customWidth="1"/>
    <col min="12556" max="12556" width="1.7109375" style="554" customWidth="1"/>
    <col min="12557" max="12557" width="14.28515625" style="554" customWidth="1"/>
    <col min="12558" max="12558" width="1.7109375" style="554" customWidth="1"/>
    <col min="12559" max="12559" width="14.28515625" style="554" customWidth="1"/>
    <col min="12560" max="12560" width="11" style="554" customWidth="1"/>
    <col min="12561" max="12561" width="9" style="554" customWidth="1"/>
    <col min="12562" max="12569" width="9.140625" style="554" customWidth="1"/>
    <col min="12570" max="12800" width="11.42578125" style="554" customWidth="1"/>
    <col min="12801" max="12801" width="3.7109375" style="554" customWidth="1"/>
    <col min="12802" max="12802" width="57.140625" style="554" customWidth="1"/>
    <col min="12803" max="12803" width="13.7109375" style="554" customWidth="1"/>
    <col min="12804" max="12804" width="1.7109375" style="554" customWidth="1"/>
    <col min="12805" max="12805" width="13.7109375" style="554" customWidth="1"/>
    <col min="12806" max="12806" width="1.85546875" style="554" customWidth="1"/>
    <col min="12807" max="12807" width="13.7109375" style="554" customWidth="1"/>
    <col min="12808" max="12808" width="1.7109375" style="554" customWidth="1"/>
    <col min="12809" max="12809" width="13.7109375" style="554" customWidth="1"/>
    <col min="12810" max="12810" width="1.7109375" style="554" customWidth="1"/>
    <col min="12811" max="12811" width="14.28515625" style="554" customWidth="1"/>
    <col min="12812" max="12812" width="1.7109375" style="554" customWidth="1"/>
    <col min="12813" max="12813" width="14.28515625" style="554" customWidth="1"/>
    <col min="12814" max="12814" width="1.7109375" style="554" customWidth="1"/>
    <col min="12815" max="12815" width="14.28515625" style="554" customWidth="1"/>
    <col min="12816" max="12816" width="11" style="554" customWidth="1"/>
    <col min="12817" max="12817" width="9" style="554" customWidth="1"/>
    <col min="12818" max="12825" width="9.140625" style="554" customWidth="1"/>
    <col min="12826" max="13056" width="11.42578125" style="554" customWidth="1"/>
    <col min="13057" max="13057" width="3.7109375" style="554" customWidth="1"/>
    <col min="13058" max="13058" width="57.140625" style="554" customWidth="1"/>
    <col min="13059" max="13059" width="13.7109375" style="554" customWidth="1"/>
    <col min="13060" max="13060" width="1.7109375" style="554" customWidth="1"/>
    <col min="13061" max="13061" width="13.7109375" style="554" customWidth="1"/>
    <col min="13062" max="13062" width="1.85546875" style="554" customWidth="1"/>
    <col min="13063" max="13063" width="13.7109375" style="554" customWidth="1"/>
    <col min="13064" max="13064" width="1.7109375" style="554" customWidth="1"/>
    <col min="13065" max="13065" width="13.7109375" style="554" customWidth="1"/>
    <col min="13066" max="13066" width="1.7109375" style="554" customWidth="1"/>
    <col min="13067" max="13067" width="14.28515625" style="554" customWidth="1"/>
    <col min="13068" max="13068" width="1.7109375" style="554" customWidth="1"/>
    <col min="13069" max="13069" width="14.28515625" style="554" customWidth="1"/>
    <col min="13070" max="13070" width="1.7109375" style="554" customWidth="1"/>
    <col min="13071" max="13071" width="14.28515625" style="554" customWidth="1"/>
    <col min="13072" max="13072" width="11" style="554" customWidth="1"/>
    <col min="13073" max="13073" width="9" style="554" customWidth="1"/>
    <col min="13074" max="13081" width="9.140625" style="554" customWidth="1"/>
    <col min="13082" max="13312" width="11.42578125" style="554" customWidth="1"/>
    <col min="13313" max="13313" width="3.7109375" style="554" customWidth="1"/>
    <col min="13314" max="13314" width="57.140625" style="554" customWidth="1"/>
    <col min="13315" max="13315" width="13.7109375" style="554" customWidth="1"/>
    <col min="13316" max="13316" width="1.7109375" style="554" customWidth="1"/>
    <col min="13317" max="13317" width="13.7109375" style="554" customWidth="1"/>
    <col min="13318" max="13318" width="1.85546875" style="554" customWidth="1"/>
    <col min="13319" max="13319" width="13.7109375" style="554" customWidth="1"/>
    <col min="13320" max="13320" width="1.7109375" style="554" customWidth="1"/>
    <col min="13321" max="13321" width="13.7109375" style="554" customWidth="1"/>
    <col min="13322" max="13322" width="1.7109375" style="554" customWidth="1"/>
    <col min="13323" max="13323" width="14.28515625" style="554" customWidth="1"/>
    <col min="13324" max="13324" width="1.7109375" style="554" customWidth="1"/>
    <col min="13325" max="13325" width="14.28515625" style="554" customWidth="1"/>
    <col min="13326" max="13326" width="1.7109375" style="554" customWidth="1"/>
    <col min="13327" max="13327" width="14.28515625" style="554" customWidth="1"/>
    <col min="13328" max="13328" width="11" style="554" customWidth="1"/>
    <col min="13329" max="13329" width="9" style="554" customWidth="1"/>
    <col min="13330" max="13337" width="9.140625" style="554" customWidth="1"/>
    <col min="13338" max="13568" width="11.42578125" style="554" customWidth="1"/>
    <col min="13569" max="13569" width="3.7109375" style="554" customWidth="1"/>
    <col min="13570" max="13570" width="57.140625" style="554" customWidth="1"/>
    <col min="13571" max="13571" width="13.7109375" style="554" customWidth="1"/>
    <col min="13572" max="13572" width="1.7109375" style="554" customWidth="1"/>
    <col min="13573" max="13573" width="13.7109375" style="554" customWidth="1"/>
    <col min="13574" max="13574" width="1.85546875" style="554" customWidth="1"/>
    <col min="13575" max="13575" width="13.7109375" style="554" customWidth="1"/>
    <col min="13576" max="13576" width="1.7109375" style="554" customWidth="1"/>
    <col min="13577" max="13577" width="13.7109375" style="554" customWidth="1"/>
    <col min="13578" max="13578" width="1.7109375" style="554" customWidth="1"/>
    <col min="13579" max="13579" width="14.28515625" style="554" customWidth="1"/>
    <col min="13580" max="13580" width="1.7109375" style="554" customWidth="1"/>
    <col min="13581" max="13581" width="14.28515625" style="554" customWidth="1"/>
    <col min="13582" max="13582" width="1.7109375" style="554" customWidth="1"/>
    <col min="13583" max="13583" width="14.28515625" style="554" customWidth="1"/>
    <col min="13584" max="13584" width="11" style="554" customWidth="1"/>
    <col min="13585" max="13585" width="9" style="554" customWidth="1"/>
    <col min="13586" max="13593" width="9.140625" style="554" customWidth="1"/>
    <col min="13594" max="13824" width="11.42578125" style="554" customWidth="1"/>
    <col min="13825" max="13825" width="3.7109375" style="554" customWidth="1"/>
    <col min="13826" max="13826" width="57.140625" style="554" customWidth="1"/>
    <col min="13827" max="13827" width="13.7109375" style="554" customWidth="1"/>
    <col min="13828" max="13828" width="1.7109375" style="554" customWidth="1"/>
    <col min="13829" max="13829" width="13.7109375" style="554" customWidth="1"/>
    <col min="13830" max="13830" width="1.85546875" style="554" customWidth="1"/>
    <col min="13831" max="13831" width="13.7109375" style="554" customWidth="1"/>
    <col min="13832" max="13832" width="1.7109375" style="554" customWidth="1"/>
    <col min="13833" max="13833" width="13.7109375" style="554" customWidth="1"/>
    <col min="13834" max="13834" width="1.7109375" style="554" customWidth="1"/>
    <col min="13835" max="13835" width="14.28515625" style="554" customWidth="1"/>
    <col min="13836" max="13836" width="1.7109375" style="554" customWidth="1"/>
    <col min="13837" max="13837" width="14.28515625" style="554" customWidth="1"/>
    <col min="13838" max="13838" width="1.7109375" style="554" customWidth="1"/>
    <col min="13839" max="13839" width="14.28515625" style="554" customWidth="1"/>
    <col min="13840" max="13840" width="11" style="554" customWidth="1"/>
    <col min="13841" max="13841" width="9" style="554" customWidth="1"/>
    <col min="13842" max="13849" width="9.140625" style="554" customWidth="1"/>
    <col min="13850" max="14080" width="11.42578125" style="554" customWidth="1"/>
    <col min="14081" max="14081" width="3.7109375" style="554" customWidth="1"/>
    <col min="14082" max="14082" width="57.140625" style="554" customWidth="1"/>
    <col min="14083" max="14083" width="13.7109375" style="554" customWidth="1"/>
    <col min="14084" max="14084" width="1.7109375" style="554" customWidth="1"/>
    <col min="14085" max="14085" width="13.7109375" style="554" customWidth="1"/>
    <col min="14086" max="14086" width="1.85546875" style="554" customWidth="1"/>
    <col min="14087" max="14087" width="13.7109375" style="554" customWidth="1"/>
    <col min="14088" max="14088" width="1.7109375" style="554" customWidth="1"/>
    <col min="14089" max="14089" width="13.7109375" style="554" customWidth="1"/>
    <col min="14090" max="14090" width="1.7109375" style="554" customWidth="1"/>
    <col min="14091" max="14091" width="14.28515625" style="554" customWidth="1"/>
    <col min="14092" max="14092" width="1.7109375" style="554" customWidth="1"/>
    <col min="14093" max="14093" width="14.28515625" style="554" customWidth="1"/>
    <col min="14094" max="14094" width="1.7109375" style="554" customWidth="1"/>
    <col min="14095" max="14095" width="14.28515625" style="554" customWidth="1"/>
    <col min="14096" max="14096" width="11" style="554" customWidth="1"/>
    <col min="14097" max="14097" width="9" style="554" customWidth="1"/>
    <col min="14098" max="14105" width="9.140625" style="554" customWidth="1"/>
    <col min="14106" max="14336" width="11.42578125" style="554" customWidth="1"/>
    <col min="14337" max="14337" width="3.7109375" style="554" customWidth="1"/>
    <col min="14338" max="14338" width="57.140625" style="554" customWidth="1"/>
    <col min="14339" max="14339" width="13.7109375" style="554" customWidth="1"/>
    <col min="14340" max="14340" width="1.7109375" style="554" customWidth="1"/>
    <col min="14341" max="14341" width="13.7109375" style="554" customWidth="1"/>
    <col min="14342" max="14342" width="1.85546875" style="554" customWidth="1"/>
    <col min="14343" max="14343" width="13.7109375" style="554" customWidth="1"/>
    <col min="14344" max="14344" width="1.7109375" style="554" customWidth="1"/>
    <col min="14345" max="14345" width="13.7109375" style="554" customWidth="1"/>
    <col min="14346" max="14346" width="1.7109375" style="554" customWidth="1"/>
    <col min="14347" max="14347" width="14.28515625" style="554" customWidth="1"/>
    <col min="14348" max="14348" width="1.7109375" style="554" customWidth="1"/>
    <col min="14349" max="14349" width="14.28515625" style="554" customWidth="1"/>
    <col min="14350" max="14350" width="1.7109375" style="554" customWidth="1"/>
    <col min="14351" max="14351" width="14.28515625" style="554" customWidth="1"/>
    <col min="14352" max="14352" width="11" style="554" customWidth="1"/>
    <col min="14353" max="14353" width="9" style="554" customWidth="1"/>
    <col min="14354" max="14361" width="9.140625" style="554" customWidth="1"/>
    <col min="14362" max="14592" width="11.42578125" style="554" customWidth="1"/>
    <col min="14593" max="14593" width="3.7109375" style="554" customWidth="1"/>
    <col min="14594" max="14594" width="57.140625" style="554" customWidth="1"/>
    <col min="14595" max="14595" width="13.7109375" style="554" customWidth="1"/>
    <col min="14596" max="14596" width="1.7109375" style="554" customWidth="1"/>
    <col min="14597" max="14597" width="13.7109375" style="554" customWidth="1"/>
    <col min="14598" max="14598" width="1.85546875" style="554" customWidth="1"/>
    <col min="14599" max="14599" width="13.7109375" style="554" customWidth="1"/>
    <col min="14600" max="14600" width="1.7109375" style="554" customWidth="1"/>
    <col min="14601" max="14601" width="13.7109375" style="554" customWidth="1"/>
    <col min="14602" max="14602" width="1.7109375" style="554" customWidth="1"/>
    <col min="14603" max="14603" width="14.28515625" style="554" customWidth="1"/>
    <col min="14604" max="14604" width="1.7109375" style="554" customWidth="1"/>
    <col min="14605" max="14605" width="14.28515625" style="554" customWidth="1"/>
    <col min="14606" max="14606" width="1.7109375" style="554" customWidth="1"/>
    <col min="14607" max="14607" width="14.28515625" style="554" customWidth="1"/>
    <col min="14608" max="14608" width="11" style="554" customWidth="1"/>
    <col min="14609" max="14609" width="9" style="554" customWidth="1"/>
    <col min="14610" max="14617" width="9.140625" style="554" customWidth="1"/>
    <col min="14618" max="14848" width="11.42578125" style="554" customWidth="1"/>
    <col min="14849" max="14849" width="3.7109375" style="554" customWidth="1"/>
    <col min="14850" max="14850" width="57.140625" style="554" customWidth="1"/>
    <col min="14851" max="14851" width="13.7109375" style="554" customWidth="1"/>
    <col min="14852" max="14852" width="1.7109375" style="554" customWidth="1"/>
    <col min="14853" max="14853" width="13.7109375" style="554" customWidth="1"/>
    <col min="14854" max="14854" width="1.85546875" style="554" customWidth="1"/>
    <col min="14855" max="14855" width="13.7109375" style="554" customWidth="1"/>
    <col min="14856" max="14856" width="1.7109375" style="554" customWidth="1"/>
    <col min="14857" max="14857" width="13.7109375" style="554" customWidth="1"/>
    <col min="14858" max="14858" width="1.7109375" style="554" customWidth="1"/>
    <col min="14859" max="14859" width="14.28515625" style="554" customWidth="1"/>
    <col min="14860" max="14860" width="1.7109375" style="554" customWidth="1"/>
    <col min="14861" max="14861" width="14.28515625" style="554" customWidth="1"/>
    <col min="14862" max="14862" width="1.7109375" style="554" customWidth="1"/>
    <col min="14863" max="14863" width="14.28515625" style="554" customWidth="1"/>
    <col min="14864" max="14864" width="11" style="554" customWidth="1"/>
    <col min="14865" max="14865" width="9" style="554" customWidth="1"/>
    <col min="14866" max="14873" width="9.140625" style="554" customWidth="1"/>
    <col min="14874" max="15104" width="11.42578125" style="554" customWidth="1"/>
    <col min="15105" max="15105" width="3.7109375" style="554" customWidth="1"/>
    <col min="15106" max="15106" width="57.140625" style="554" customWidth="1"/>
    <col min="15107" max="15107" width="13.7109375" style="554" customWidth="1"/>
    <col min="15108" max="15108" width="1.7109375" style="554" customWidth="1"/>
    <col min="15109" max="15109" width="13.7109375" style="554" customWidth="1"/>
    <col min="15110" max="15110" width="1.85546875" style="554" customWidth="1"/>
    <col min="15111" max="15111" width="13.7109375" style="554" customWidth="1"/>
    <col min="15112" max="15112" width="1.7109375" style="554" customWidth="1"/>
    <col min="15113" max="15113" width="13.7109375" style="554" customWidth="1"/>
    <col min="15114" max="15114" width="1.7109375" style="554" customWidth="1"/>
    <col min="15115" max="15115" width="14.28515625" style="554" customWidth="1"/>
    <col min="15116" max="15116" width="1.7109375" style="554" customWidth="1"/>
    <col min="15117" max="15117" width="14.28515625" style="554" customWidth="1"/>
    <col min="15118" max="15118" width="1.7109375" style="554" customWidth="1"/>
    <col min="15119" max="15119" width="14.28515625" style="554" customWidth="1"/>
    <col min="15120" max="15120" width="11" style="554" customWidth="1"/>
    <col min="15121" max="15121" width="9" style="554" customWidth="1"/>
    <col min="15122" max="15129" width="9.140625" style="554" customWidth="1"/>
    <col min="15130" max="15360" width="11.42578125" style="554" customWidth="1"/>
    <col min="15361" max="15361" width="3.7109375" style="554" customWidth="1"/>
    <col min="15362" max="15362" width="57.140625" style="554" customWidth="1"/>
    <col min="15363" max="15363" width="13.7109375" style="554" customWidth="1"/>
    <col min="15364" max="15364" width="1.7109375" style="554" customWidth="1"/>
    <col min="15365" max="15365" width="13.7109375" style="554" customWidth="1"/>
    <col min="15366" max="15366" width="1.85546875" style="554" customWidth="1"/>
    <col min="15367" max="15367" width="13.7109375" style="554" customWidth="1"/>
    <col min="15368" max="15368" width="1.7109375" style="554" customWidth="1"/>
    <col min="15369" max="15369" width="13.7109375" style="554" customWidth="1"/>
    <col min="15370" max="15370" width="1.7109375" style="554" customWidth="1"/>
    <col min="15371" max="15371" width="14.28515625" style="554" customWidth="1"/>
    <col min="15372" max="15372" width="1.7109375" style="554" customWidth="1"/>
    <col min="15373" max="15373" width="14.28515625" style="554" customWidth="1"/>
    <col min="15374" max="15374" width="1.7109375" style="554" customWidth="1"/>
    <col min="15375" max="15375" width="14.28515625" style="554" customWidth="1"/>
    <col min="15376" max="15376" width="11" style="554" customWidth="1"/>
    <col min="15377" max="15377" width="9" style="554" customWidth="1"/>
    <col min="15378" max="15385" width="9.140625" style="554" customWidth="1"/>
    <col min="15386" max="15616" width="11.42578125" style="554" customWidth="1"/>
    <col min="15617" max="15617" width="3.7109375" style="554" customWidth="1"/>
    <col min="15618" max="15618" width="57.140625" style="554" customWidth="1"/>
    <col min="15619" max="15619" width="13.7109375" style="554" customWidth="1"/>
    <col min="15620" max="15620" width="1.7109375" style="554" customWidth="1"/>
    <col min="15621" max="15621" width="13.7109375" style="554" customWidth="1"/>
    <col min="15622" max="15622" width="1.85546875" style="554" customWidth="1"/>
    <col min="15623" max="15623" width="13.7109375" style="554" customWidth="1"/>
    <col min="15624" max="15624" width="1.7109375" style="554" customWidth="1"/>
    <col min="15625" max="15625" width="13.7109375" style="554" customWidth="1"/>
    <col min="15626" max="15626" width="1.7109375" style="554" customWidth="1"/>
    <col min="15627" max="15627" width="14.28515625" style="554" customWidth="1"/>
    <col min="15628" max="15628" width="1.7109375" style="554" customWidth="1"/>
    <col min="15629" max="15629" width="14.28515625" style="554" customWidth="1"/>
    <col min="15630" max="15630" width="1.7109375" style="554" customWidth="1"/>
    <col min="15631" max="15631" width="14.28515625" style="554" customWidth="1"/>
    <col min="15632" max="15632" width="11" style="554" customWidth="1"/>
    <col min="15633" max="15633" width="9" style="554" customWidth="1"/>
    <col min="15634" max="15641" width="9.140625" style="554" customWidth="1"/>
    <col min="15642" max="15872" width="11.42578125" style="554" customWidth="1"/>
    <col min="15873" max="15873" width="3.7109375" style="554" customWidth="1"/>
    <col min="15874" max="15874" width="57.140625" style="554" customWidth="1"/>
    <col min="15875" max="15875" width="13.7109375" style="554" customWidth="1"/>
    <col min="15876" max="15876" width="1.7109375" style="554" customWidth="1"/>
    <col min="15877" max="15877" width="13.7109375" style="554" customWidth="1"/>
    <col min="15878" max="15878" width="1.85546875" style="554" customWidth="1"/>
    <col min="15879" max="15879" width="13.7109375" style="554" customWidth="1"/>
    <col min="15880" max="15880" width="1.7109375" style="554" customWidth="1"/>
    <col min="15881" max="15881" width="13.7109375" style="554" customWidth="1"/>
    <col min="15882" max="15882" width="1.7109375" style="554" customWidth="1"/>
    <col min="15883" max="15883" width="14.28515625" style="554" customWidth="1"/>
    <col min="15884" max="15884" width="1.7109375" style="554" customWidth="1"/>
    <col min="15885" max="15885" width="14.28515625" style="554" customWidth="1"/>
    <col min="15886" max="15886" width="1.7109375" style="554" customWidth="1"/>
    <col min="15887" max="15887" width="14.28515625" style="554" customWidth="1"/>
    <col min="15888" max="15888" width="11" style="554" customWidth="1"/>
    <col min="15889" max="15889" width="9" style="554" customWidth="1"/>
    <col min="15890" max="15897" width="9.140625" style="554" customWidth="1"/>
    <col min="15898" max="16128" width="11.42578125" style="554" customWidth="1"/>
    <col min="16129" max="16129" width="3.7109375" style="554" customWidth="1"/>
    <col min="16130" max="16130" width="57.140625" style="554" customWidth="1"/>
    <col min="16131" max="16131" width="13.7109375" style="554" customWidth="1"/>
    <col min="16132" max="16132" width="1.7109375" style="554" customWidth="1"/>
    <col min="16133" max="16133" width="13.7109375" style="554" customWidth="1"/>
    <col min="16134" max="16134" width="1.85546875" style="554" customWidth="1"/>
    <col min="16135" max="16135" width="13.7109375" style="554" customWidth="1"/>
    <col min="16136" max="16136" width="1.7109375" style="554" customWidth="1"/>
    <col min="16137" max="16137" width="13.7109375" style="554" customWidth="1"/>
    <col min="16138" max="16138" width="1.7109375" style="554" customWidth="1"/>
    <col min="16139" max="16139" width="14.28515625" style="554" customWidth="1"/>
    <col min="16140" max="16140" width="1.7109375" style="554" customWidth="1"/>
    <col min="16141" max="16141" width="14.28515625" style="554" customWidth="1"/>
    <col min="16142" max="16142" width="1.7109375" style="554" customWidth="1"/>
    <col min="16143" max="16143" width="14.28515625" style="554" customWidth="1"/>
    <col min="16144" max="16144" width="11" style="554" customWidth="1"/>
    <col min="16145" max="16145" width="9" style="554" customWidth="1"/>
    <col min="16146" max="16153" width="9.140625" style="554" customWidth="1"/>
    <col min="16154" max="16384" width="11.42578125" style="554" customWidth="1"/>
  </cols>
  <sheetData>
    <row r="1" spans="1:15" x14ac:dyDescent="0.2">
      <c r="A1" s="685" t="s">
        <v>413</v>
      </c>
      <c r="B1" s="687" t="s">
        <v>412</v>
      </c>
      <c r="C1" s="576"/>
    </row>
    <row r="2" spans="1:15" s="550" customFormat="1" x14ac:dyDescent="0.2">
      <c r="B2" s="548" t="s">
        <v>308</v>
      </c>
      <c r="C2" s="548"/>
      <c r="D2" s="548"/>
      <c r="E2" s="548"/>
      <c r="F2" s="548"/>
      <c r="G2" s="548"/>
      <c r="H2" s="548"/>
      <c r="I2" s="548"/>
      <c r="J2" s="548"/>
      <c r="L2" s="578"/>
    </row>
    <row r="3" spans="1:15" s="550" customFormat="1" ht="12.75" customHeight="1" x14ac:dyDescent="0.2">
      <c r="B3" s="548"/>
      <c r="C3" s="548"/>
      <c r="D3" s="548"/>
      <c r="E3" s="548"/>
      <c r="F3" s="548"/>
      <c r="G3" s="548"/>
      <c r="H3" s="548"/>
      <c r="I3" s="548"/>
      <c r="J3" s="548"/>
      <c r="L3" s="578"/>
    </row>
    <row r="4" spans="1:15" s="550" customFormat="1" ht="42" customHeight="1" x14ac:dyDescent="0.2">
      <c r="C4" s="596" t="s">
        <v>366</v>
      </c>
      <c r="E4" s="596" t="s">
        <v>367</v>
      </c>
      <c r="F4" s="597"/>
      <c r="G4" s="598" t="s">
        <v>368</v>
      </c>
      <c r="H4" s="598"/>
      <c r="I4" s="598" t="s">
        <v>369</v>
      </c>
      <c r="K4" s="598" t="s">
        <v>370</v>
      </c>
      <c r="L4" s="599"/>
      <c r="M4" s="598" t="s">
        <v>371</v>
      </c>
      <c r="O4" s="598" t="s">
        <v>372</v>
      </c>
    </row>
    <row r="5" spans="1:15" ht="12.75" customHeight="1" x14ac:dyDescent="0.2">
      <c r="B5" s="600">
        <v>0</v>
      </c>
      <c r="C5" s="556" t="s">
        <v>14</v>
      </c>
      <c r="D5" s="600"/>
      <c r="E5" s="556" t="s">
        <v>14</v>
      </c>
      <c r="F5" s="601"/>
      <c r="G5" s="556" t="s">
        <v>14</v>
      </c>
      <c r="H5" s="601"/>
      <c r="I5" s="556" t="s">
        <v>14</v>
      </c>
      <c r="J5" s="600"/>
      <c r="K5" s="556" t="s">
        <v>14</v>
      </c>
      <c r="L5" s="602"/>
      <c r="M5" s="556" t="s">
        <v>14</v>
      </c>
      <c r="N5" s="600"/>
      <c r="O5" s="556" t="s">
        <v>14</v>
      </c>
    </row>
    <row r="6" spans="1:15" ht="3.95" customHeight="1" x14ac:dyDescent="0.2">
      <c r="B6" s="326"/>
      <c r="C6" s="603"/>
      <c r="D6" s="326"/>
      <c r="E6" s="603"/>
      <c r="F6" s="326"/>
      <c r="G6" s="603"/>
      <c r="I6" s="326"/>
      <c r="J6" s="326"/>
      <c r="K6" s="603"/>
      <c r="L6" s="551"/>
      <c r="M6" s="603"/>
      <c r="N6" s="603"/>
      <c r="O6" s="603"/>
    </row>
    <row r="7" spans="1:15" ht="12.75" customHeight="1" x14ac:dyDescent="0.2">
      <c r="B7" s="604" t="s">
        <v>373</v>
      </c>
      <c r="C7" s="605">
        <v>3866</v>
      </c>
      <c r="D7" s="605"/>
      <c r="E7" s="605">
        <v>154123</v>
      </c>
      <c r="F7" s="605"/>
      <c r="G7" s="605">
        <v>-7841</v>
      </c>
      <c r="H7" s="560"/>
      <c r="I7" s="605">
        <v>-73213</v>
      </c>
      <c r="J7" s="605"/>
      <c r="K7" s="606">
        <f>SUM(C7:I7)</f>
        <v>76935</v>
      </c>
      <c r="L7" s="607"/>
      <c r="M7" s="605">
        <v>1267</v>
      </c>
      <c r="N7" s="560"/>
      <c r="O7" s="606">
        <f>SUM(K7:M7)</f>
        <v>78202</v>
      </c>
    </row>
    <row r="8" spans="1:15" ht="12.75" customHeight="1" x14ac:dyDescent="0.2">
      <c r="B8" s="558" t="s">
        <v>374</v>
      </c>
      <c r="C8" s="605">
        <v>0</v>
      </c>
      <c r="D8" s="605"/>
      <c r="E8" s="605">
        <v>2</v>
      </c>
      <c r="F8" s="605"/>
      <c r="G8" s="605">
        <v>287</v>
      </c>
      <c r="H8" s="560"/>
      <c r="I8" s="605">
        <v>-237</v>
      </c>
      <c r="J8" s="605"/>
      <c r="K8" s="606">
        <f t="shared" ref="K8:K14" si="0">SUM(C8:I8)</f>
        <v>52</v>
      </c>
      <c r="L8" s="607"/>
      <c r="M8" s="605">
        <v>0</v>
      </c>
      <c r="N8" s="560"/>
      <c r="O8" s="606">
        <f t="shared" ref="O8:O14" si="1">SUM(K8:M8)</f>
        <v>52</v>
      </c>
    </row>
    <row r="9" spans="1:15" ht="12.75" customHeight="1" x14ac:dyDescent="0.2">
      <c r="B9" s="558" t="s">
        <v>487</v>
      </c>
      <c r="C9" s="605">
        <v>0</v>
      </c>
      <c r="D9" s="605"/>
      <c r="E9" s="605">
        <v>0</v>
      </c>
      <c r="F9" s="605"/>
      <c r="G9" s="605">
        <v>-1475</v>
      </c>
      <c r="H9" s="560"/>
      <c r="I9" s="605">
        <v>0</v>
      </c>
      <c r="J9" s="605"/>
      <c r="K9" s="606">
        <f t="shared" si="0"/>
        <v>-1475</v>
      </c>
      <c r="L9" s="607"/>
      <c r="M9" s="605">
        <v>0</v>
      </c>
      <c r="N9" s="560"/>
      <c r="O9" s="606">
        <f t="shared" si="1"/>
        <v>-1475</v>
      </c>
    </row>
    <row r="10" spans="1:15" ht="12.75" customHeight="1" x14ac:dyDescent="0.2">
      <c r="B10" s="558" t="s">
        <v>375</v>
      </c>
      <c r="C10" s="605">
        <v>0</v>
      </c>
      <c r="D10" s="605"/>
      <c r="E10" s="605">
        <v>152</v>
      </c>
      <c r="F10" s="605"/>
      <c r="G10" s="605">
        <v>0</v>
      </c>
      <c r="H10" s="560"/>
      <c r="I10" s="605">
        <v>0</v>
      </c>
      <c r="J10" s="605"/>
      <c r="K10" s="606">
        <f t="shared" si="0"/>
        <v>152</v>
      </c>
      <c r="L10" s="607"/>
      <c r="M10" s="605">
        <v>0</v>
      </c>
      <c r="N10" s="560"/>
      <c r="O10" s="606">
        <f t="shared" si="1"/>
        <v>152</v>
      </c>
    </row>
    <row r="11" spans="1:15" ht="12.75" customHeight="1" x14ac:dyDescent="0.2">
      <c r="B11" s="558" t="s">
        <v>378</v>
      </c>
      <c r="C11" s="605">
        <v>0</v>
      </c>
      <c r="D11" s="605"/>
      <c r="E11" s="605">
        <v>0</v>
      </c>
      <c r="F11" s="605"/>
      <c r="G11" s="605">
        <v>0</v>
      </c>
      <c r="H11" s="560"/>
      <c r="I11" s="605">
        <v>-7</v>
      </c>
      <c r="J11" s="605"/>
      <c r="K11" s="606">
        <f t="shared" si="0"/>
        <v>-7</v>
      </c>
      <c r="L11" s="607"/>
      <c r="M11" s="605">
        <v>-17</v>
      </c>
      <c r="N11" s="560"/>
      <c r="O11" s="606">
        <f t="shared" si="1"/>
        <v>-24</v>
      </c>
    </row>
    <row r="12" spans="1:15" ht="12.75" customHeight="1" x14ac:dyDescent="0.2">
      <c r="B12" s="558" t="s">
        <v>379</v>
      </c>
      <c r="C12" s="605">
        <v>0</v>
      </c>
      <c r="D12" s="605"/>
      <c r="E12" s="605">
        <v>0</v>
      </c>
      <c r="F12" s="605"/>
      <c r="G12" s="605">
        <v>0</v>
      </c>
      <c r="H12" s="560"/>
      <c r="I12" s="605">
        <v>604</v>
      </c>
      <c r="J12" s="605"/>
      <c r="K12" s="606">
        <f t="shared" si="0"/>
        <v>604</v>
      </c>
      <c r="L12" s="607"/>
      <c r="M12" s="605">
        <v>145</v>
      </c>
      <c r="N12" s="560"/>
      <c r="O12" s="606">
        <f t="shared" si="1"/>
        <v>749</v>
      </c>
    </row>
    <row r="13" spans="1:15" ht="12.75" customHeight="1" x14ac:dyDescent="0.2">
      <c r="B13" s="558" t="s">
        <v>376</v>
      </c>
      <c r="C13" s="605">
        <v>0</v>
      </c>
      <c r="D13" s="605"/>
      <c r="E13" s="605">
        <v>0</v>
      </c>
      <c r="F13" s="605"/>
      <c r="G13" s="605">
        <v>0</v>
      </c>
      <c r="H13" s="560"/>
      <c r="I13" s="605">
        <v>-4801</v>
      </c>
      <c r="J13" s="605"/>
      <c r="K13" s="606">
        <f t="shared" si="0"/>
        <v>-4801</v>
      </c>
      <c r="L13" s="607"/>
      <c r="M13" s="605">
        <v>-384</v>
      </c>
      <c r="N13" s="560"/>
      <c r="O13" s="606">
        <f t="shared" si="1"/>
        <v>-5185</v>
      </c>
    </row>
    <row r="14" spans="1:15" ht="12.75" customHeight="1" x14ac:dyDescent="0.2">
      <c r="B14" s="558" t="s">
        <v>62</v>
      </c>
      <c r="C14" s="605">
        <v>0</v>
      </c>
      <c r="D14" s="605"/>
      <c r="E14" s="605">
        <v>2</v>
      </c>
      <c r="F14" s="605"/>
      <c r="G14" s="605">
        <v>0</v>
      </c>
      <c r="H14" s="560"/>
      <c r="I14" s="605">
        <v>15</v>
      </c>
      <c r="J14" s="605"/>
      <c r="K14" s="606">
        <f t="shared" si="0"/>
        <v>17</v>
      </c>
      <c r="L14" s="607"/>
      <c r="M14" s="605">
        <v>0</v>
      </c>
      <c r="N14" s="560"/>
      <c r="O14" s="606">
        <f t="shared" si="1"/>
        <v>17</v>
      </c>
    </row>
    <row r="15" spans="1:15" ht="13.5" customHeight="1" thickBot="1" x14ac:dyDescent="0.25">
      <c r="B15" s="608" t="s">
        <v>405</v>
      </c>
      <c r="C15" s="609">
        <f>SUM(C7:C14)</f>
        <v>3866</v>
      </c>
      <c r="D15" s="609"/>
      <c r="E15" s="609">
        <f t="shared" ref="E15:O15" si="2">SUM(E7:E14)</f>
        <v>154279</v>
      </c>
      <c r="F15" s="609"/>
      <c r="G15" s="609">
        <f t="shared" si="2"/>
        <v>-9029</v>
      </c>
      <c r="H15" s="572"/>
      <c r="I15" s="609">
        <f t="shared" si="2"/>
        <v>-77639</v>
      </c>
      <c r="J15" s="609"/>
      <c r="K15" s="609">
        <f t="shared" si="2"/>
        <v>71477</v>
      </c>
      <c r="L15" s="572"/>
      <c r="M15" s="609">
        <f t="shared" si="2"/>
        <v>1011</v>
      </c>
      <c r="N15" s="572"/>
      <c r="O15" s="609">
        <f t="shared" si="2"/>
        <v>72488</v>
      </c>
    </row>
    <row r="16" spans="1:15" ht="3.95" customHeight="1" x14ac:dyDescent="0.2">
      <c r="B16" s="610"/>
      <c r="C16" s="606"/>
      <c r="D16" s="606"/>
      <c r="E16" s="606"/>
      <c r="F16" s="606"/>
      <c r="G16" s="606"/>
      <c r="H16" s="611"/>
      <c r="I16" s="606"/>
      <c r="J16" s="606"/>
      <c r="K16" s="606"/>
      <c r="L16" s="611"/>
      <c r="M16" s="606"/>
      <c r="N16" s="611"/>
      <c r="O16" s="606"/>
    </row>
    <row r="17" spans="2:15" ht="12.75" customHeight="1" x14ac:dyDescent="0.2">
      <c r="B17" s="604" t="s">
        <v>374</v>
      </c>
      <c r="C17" s="605">
        <v>0</v>
      </c>
      <c r="D17" s="605"/>
      <c r="E17" s="605">
        <v>2</v>
      </c>
      <c r="F17" s="605"/>
      <c r="G17" s="605">
        <v>194</v>
      </c>
      <c r="H17" s="560"/>
      <c r="I17" s="605">
        <v>-173</v>
      </c>
      <c r="J17" s="605"/>
      <c r="K17" s="606">
        <f t="shared" ref="K17:K24" si="3">SUM(C17:I17)</f>
        <v>23</v>
      </c>
      <c r="L17" s="607"/>
      <c r="M17" s="605">
        <v>0</v>
      </c>
      <c r="N17" s="560"/>
      <c r="O17" s="606">
        <f t="shared" ref="O17:O25" si="4">SUM(K17:M17)</f>
        <v>23</v>
      </c>
    </row>
    <row r="18" spans="2:15" ht="12.75" customHeight="1" x14ac:dyDescent="0.2">
      <c r="B18" s="604" t="s">
        <v>377</v>
      </c>
      <c r="C18" s="605">
        <v>-74</v>
      </c>
      <c r="D18" s="605"/>
      <c r="E18" s="605">
        <v>74</v>
      </c>
      <c r="F18" s="605"/>
      <c r="G18" s="605">
        <v>1648</v>
      </c>
      <c r="H18" s="560"/>
      <c r="I18" s="605">
        <v>-1648</v>
      </c>
      <c r="J18" s="605"/>
      <c r="K18" s="606">
        <f t="shared" si="3"/>
        <v>0</v>
      </c>
      <c r="L18" s="607"/>
      <c r="M18" s="605">
        <v>0</v>
      </c>
      <c r="N18" s="560"/>
      <c r="O18" s="606">
        <f t="shared" si="4"/>
        <v>0</v>
      </c>
    </row>
    <row r="19" spans="2:15" ht="12.75" customHeight="1" x14ac:dyDescent="0.2">
      <c r="B19" s="604" t="s">
        <v>497</v>
      </c>
      <c r="C19" s="605">
        <v>16613</v>
      </c>
      <c r="D19" s="605"/>
      <c r="E19" s="605">
        <v>-37470</v>
      </c>
      <c r="F19" s="605"/>
      <c r="G19" s="605">
        <v>0</v>
      </c>
      <c r="H19" s="560"/>
      <c r="I19" s="605">
        <v>20857</v>
      </c>
      <c r="J19" s="605"/>
      <c r="K19" s="606">
        <f t="shared" si="3"/>
        <v>0</v>
      </c>
      <c r="L19" s="607"/>
      <c r="M19" s="605">
        <v>0</v>
      </c>
      <c r="N19" s="560"/>
      <c r="O19" s="606">
        <f t="shared" si="4"/>
        <v>0</v>
      </c>
    </row>
    <row r="20" spans="2:15" ht="12.75" customHeight="1" x14ac:dyDescent="0.2">
      <c r="B20" s="604" t="s">
        <v>498</v>
      </c>
      <c r="C20" s="605">
        <v>-16613</v>
      </c>
      <c r="D20" s="605"/>
      <c r="E20" s="605">
        <v>0</v>
      </c>
      <c r="F20" s="605"/>
      <c r="G20" s="605">
        <v>0</v>
      </c>
      <c r="H20" s="560"/>
      <c r="I20" s="605">
        <v>1115</v>
      </c>
      <c r="J20" s="605"/>
      <c r="K20" s="606">
        <f t="shared" ref="K20" si="5">SUM(C20:I20)</f>
        <v>-15498</v>
      </c>
      <c r="L20" s="607"/>
      <c r="M20" s="605">
        <v>0</v>
      </c>
      <c r="N20" s="560"/>
      <c r="O20" s="606">
        <f t="shared" ref="O20" si="6">SUM(K20:M20)</f>
        <v>-15498</v>
      </c>
    </row>
    <row r="21" spans="2:15" ht="12.75" customHeight="1" x14ac:dyDescent="0.2">
      <c r="B21" s="604" t="s">
        <v>375</v>
      </c>
      <c r="C21" s="605">
        <v>0</v>
      </c>
      <c r="D21" s="605"/>
      <c r="E21" s="605">
        <v>88</v>
      </c>
      <c r="F21" s="605"/>
      <c r="G21" s="605">
        <v>0</v>
      </c>
      <c r="H21" s="560"/>
      <c r="I21" s="605">
        <v>0</v>
      </c>
      <c r="J21" s="605"/>
      <c r="K21" s="606">
        <f t="shared" si="3"/>
        <v>88</v>
      </c>
      <c r="L21" s="607"/>
      <c r="M21" s="605">
        <v>0</v>
      </c>
      <c r="N21" s="560"/>
      <c r="O21" s="606">
        <f t="shared" si="4"/>
        <v>88</v>
      </c>
    </row>
    <row r="22" spans="2:15" ht="12.75" customHeight="1" x14ac:dyDescent="0.2">
      <c r="B22" s="604" t="s">
        <v>378</v>
      </c>
      <c r="C22" s="605">
        <v>0</v>
      </c>
      <c r="D22" s="605"/>
      <c r="E22" s="605">
        <v>0</v>
      </c>
      <c r="F22" s="605"/>
      <c r="G22" s="605">
        <v>0</v>
      </c>
      <c r="H22" s="560"/>
      <c r="I22" s="605">
        <v>-1451</v>
      </c>
      <c r="J22" s="605"/>
      <c r="K22" s="606">
        <f t="shared" si="3"/>
        <v>-1451</v>
      </c>
      <c r="L22" s="607"/>
      <c r="M22" s="605">
        <v>260</v>
      </c>
      <c r="N22" s="560"/>
      <c r="O22" s="606">
        <f t="shared" si="4"/>
        <v>-1191</v>
      </c>
    </row>
    <row r="23" spans="2:15" ht="12.75" customHeight="1" x14ac:dyDescent="0.2">
      <c r="B23" s="604" t="s">
        <v>379</v>
      </c>
      <c r="C23" s="605">
        <v>0</v>
      </c>
      <c r="D23" s="605"/>
      <c r="E23" s="605">
        <v>0</v>
      </c>
      <c r="F23" s="605"/>
      <c r="G23" s="605">
        <v>0</v>
      </c>
      <c r="H23" s="560"/>
      <c r="I23" s="605">
        <v>56711</v>
      </c>
      <c r="J23" s="605"/>
      <c r="K23" s="606">
        <f t="shared" si="3"/>
        <v>56711</v>
      </c>
      <c r="L23" s="607"/>
      <c r="M23" s="605">
        <v>-9</v>
      </c>
      <c r="N23" s="560"/>
      <c r="O23" s="606">
        <f t="shared" si="4"/>
        <v>56702</v>
      </c>
    </row>
    <row r="24" spans="2:15" ht="12.75" customHeight="1" x14ac:dyDescent="0.2">
      <c r="B24" s="604" t="s">
        <v>376</v>
      </c>
      <c r="C24" s="605">
        <v>0</v>
      </c>
      <c r="D24" s="605"/>
      <c r="E24" s="605">
        <v>0</v>
      </c>
      <c r="F24" s="605"/>
      <c r="G24" s="605">
        <v>0</v>
      </c>
      <c r="H24" s="560"/>
      <c r="I24" s="605">
        <v>-40566</v>
      </c>
      <c r="J24" s="605"/>
      <c r="K24" s="606">
        <f t="shared" si="3"/>
        <v>-40566</v>
      </c>
      <c r="L24" s="607"/>
      <c r="M24" s="605">
        <v>-284</v>
      </c>
      <c r="N24" s="560"/>
      <c r="O24" s="606">
        <f t="shared" si="4"/>
        <v>-40850</v>
      </c>
    </row>
    <row r="25" spans="2:15" ht="12.75" customHeight="1" x14ac:dyDescent="0.2">
      <c r="B25" s="604" t="s">
        <v>62</v>
      </c>
      <c r="C25" s="605">
        <v>0</v>
      </c>
      <c r="D25" s="605"/>
      <c r="E25" s="605">
        <v>0</v>
      </c>
      <c r="F25" s="605"/>
      <c r="G25" s="605">
        <v>0</v>
      </c>
      <c r="H25" s="560"/>
      <c r="I25" s="605">
        <v>18</v>
      </c>
      <c r="J25" s="605"/>
      <c r="K25" s="606">
        <f>SUM(C25:I25)</f>
        <v>18</v>
      </c>
      <c r="L25" s="607"/>
      <c r="M25" s="605">
        <v>1</v>
      </c>
      <c r="N25" s="560"/>
      <c r="O25" s="606">
        <f t="shared" si="4"/>
        <v>19</v>
      </c>
    </row>
    <row r="26" spans="2:15" ht="13.5" customHeight="1" thickBot="1" x14ac:dyDescent="0.25">
      <c r="B26" s="684" t="s">
        <v>406</v>
      </c>
      <c r="C26" s="573">
        <f>SUM(C15:C25)</f>
        <v>3792</v>
      </c>
      <c r="D26" s="573"/>
      <c r="E26" s="573">
        <f>SUM(E15:E25)</f>
        <v>116973</v>
      </c>
      <c r="F26" s="573"/>
      <c r="G26" s="573">
        <f>SUM(G15:G25)</f>
        <v>-7187</v>
      </c>
      <c r="H26" s="572"/>
      <c r="I26" s="573">
        <f>SUM(I15:I25)</f>
        <v>-42776</v>
      </c>
      <c r="J26" s="573"/>
      <c r="K26" s="573">
        <f>SUM(K15:K25)</f>
        <v>70802</v>
      </c>
      <c r="L26" s="572"/>
      <c r="M26" s="573">
        <f>SUM(M15:M25)</f>
        <v>979</v>
      </c>
      <c r="N26" s="612"/>
      <c r="O26" s="573">
        <f>SUM(O15:O25)</f>
        <v>71781</v>
      </c>
    </row>
    <row r="27" spans="2:15" ht="3.95" customHeight="1" x14ac:dyDescent="0.2">
      <c r="B27" s="564"/>
      <c r="C27" s="564"/>
      <c r="D27" s="564"/>
      <c r="E27" s="564"/>
      <c r="F27" s="564"/>
      <c r="G27" s="564"/>
      <c r="H27" s="564"/>
      <c r="I27" s="564"/>
      <c r="J27" s="564"/>
      <c r="K27" s="585"/>
      <c r="L27" s="585"/>
      <c r="M27" s="613"/>
    </row>
    <row r="28" spans="2:15" ht="12.75" customHeight="1" x14ac:dyDescent="0.2">
      <c r="B28" s="614" t="s">
        <v>40</v>
      </c>
      <c r="C28" s="615"/>
      <c r="D28" s="564"/>
      <c r="E28" s="564"/>
      <c r="F28" s="564"/>
      <c r="G28" s="564"/>
      <c r="H28" s="564"/>
      <c r="I28" s="564"/>
      <c r="J28" s="564"/>
      <c r="K28" s="585"/>
      <c r="L28" s="585"/>
      <c r="M28" s="613"/>
    </row>
    <row r="29" spans="2:15" ht="12.75" customHeight="1" x14ac:dyDescent="0.2">
      <c r="B29" s="876" t="s">
        <v>380</v>
      </c>
      <c r="C29" s="877"/>
      <c r="D29" s="821"/>
      <c r="E29" s="821"/>
      <c r="F29" s="821"/>
      <c r="G29" s="821"/>
      <c r="H29" s="821"/>
      <c r="I29" s="821"/>
      <c r="J29" s="821"/>
      <c r="K29" s="821"/>
      <c r="L29" s="821"/>
      <c r="M29" s="821"/>
      <c r="N29" s="821"/>
      <c r="O29" s="821"/>
    </row>
    <row r="30" spans="2:15" ht="12.75" customHeight="1" x14ac:dyDescent="0.2">
      <c r="B30" s="876" t="s">
        <v>381</v>
      </c>
      <c r="C30" s="877"/>
      <c r="D30" s="564"/>
      <c r="E30" s="564"/>
      <c r="F30" s="564"/>
      <c r="G30" s="564"/>
      <c r="H30" s="564"/>
      <c r="I30" s="564"/>
      <c r="J30" s="564"/>
      <c r="K30" s="585"/>
      <c r="L30" s="585"/>
      <c r="M30" s="613"/>
    </row>
    <row r="31" spans="2:15" ht="12.75" customHeight="1" x14ac:dyDescent="0.2">
      <c r="B31" s="876"/>
      <c r="C31" s="877"/>
      <c r="K31" s="577"/>
      <c r="M31" s="577"/>
    </row>
    <row r="32" spans="2:15" ht="12.75" customHeight="1" x14ac:dyDescent="0.2">
      <c r="B32" s="876"/>
      <c r="C32" s="877"/>
      <c r="D32" s="575"/>
      <c r="E32" s="575"/>
      <c r="F32" s="575"/>
      <c r="G32" s="575"/>
      <c r="H32" s="575"/>
      <c r="I32" s="575"/>
      <c r="J32" s="575"/>
    </row>
  </sheetData>
  <sheetProtection formatCells="0" formatColumns="0" formatRows="0" sort="0" autoFilter="0" pivotTables="0"/>
  <mergeCells count="4">
    <mergeCell ref="B29:O29"/>
    <mergeCell ref="B30:C30"/>
    <mergeCell ref="B31:C31"/>
    <mergeCell ref="B32:C32"/>
  </mergeCells>
  <hyperlinks>
    <hyperlink ref="A1" location="'FY 14 Financial statements'!A1" display="Back"/>
  </hyperlinks>
  <pageMargins left="0.75" right="0.75" top="1" bottom="1" header="0.5" footer="0.5"/>
  <pageSetup paperSize="9" scale="80" orientation="landscape" horizontalDpi="300" verticalDpi="300"/>
  <headerFooter alignWithMargins="0">
    <oddHeader>&amp;L&amp;"Vodafone Rg,Regular"Vodafone Group Plc</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showGridLines="0" topLeftCell="A19" workbookViewId="0">
      <selection activeCell="B45" sqref="B45"/>
    </sheetView>
  </sheetViews>
  <sheetFormatPr defaultRowHeight="12.75" x14ac:dyDescent="0.2"/>
  <cols>
    <col min="1" max="1" width="5.42578125" style="554" customWidth="1"/>
    <col min="2" max="2" width="66.140625" style="554" customWidth="1"/>
    <col min="3" max="3" width="8.42578125" style="554" customWidth="1"/>
    <col min="4" max="4" width="14.28515625" style="554" customWidth="1"/>
    <col min="5" max="5" width="1.7109375" style="577" customWidth="1"/>
    <col min="6" max="6" width="14.28515625" style="554" customWidth="1"/>
    <col min="7" max="16" width="9.140625" style="554" customWidth="1"/>
    <col min="17" max="256" width="11.42578125" style="554" customWidth="1"/>
    <col min="257" max="257" width="5.42578125" style="554" customWidth="1"/>
    <col min="258" max="258" width="66.140625" style="554" customWidth="1"/>
    <col min="259" max="259" width="8.42578125" style="554" customWidth="1"/>
    <col min="260" max="260" width="14.28515625" style="554" customWidth="1"/>
    <col min="261" max="261" width="1.7109375" style="554" customWidth="1"/>
    <col min="262" max="262" width="14.28515625" style="554" customWidth="1"/>
    <col min="263" max="272" width="9.140625" style="554" customWidth="1"/>
    <col min="273" max="512" width="11.42578125" style="554" customWidth="1"/>
    <col min="513" max="513" width="5.42578125" style="554" customWidth="1"/>
    <col min="514" max="514" width="66.140625" style="554" customWidth="1"/>
    <col min="515" max="515" width="8.42578125" style="554" customWidth="1"/>
    <col min="516" max="516" width="14.28515625" style="554" customWidth="1"/>
    <col min="517" max="517" width="1.7109375" style="554" customWidth="1"/>
    <col min="518" max="518" width="14.28515625" style="554" customWidth="1"/>
    <col min="519" max="528" width="9.140625" style="554" customWidth="1"/>
    <col min="529" max="768" width="11.42578125" style="554" customWidth="1"/>
    <col min="769" max="769" width="5.42578125" style="554" customWidth="1"/>
    <col min="770" max="770" width="66.140625" style="554" customWidth="1"/>
    <col min="771" max="771" width="8.42578125" style="554" customWidth="1"/>
    <col min="772" max="772" width="14.28515625" style="554" customWidth="1"/>
    <col min="773" max="773" width="1.7109375" style="554" customWidth="1"/>
    <col min="774" max="774" width="14.28515625" style="554" customWidth="1"/>
    <col min="775" max="784" width="9.140625" style="554" customWidth="1"/>
    <col min="785" max="1024" width="11.42578125" style="554" customWidth="1"/>
    <col min="1025" max="1025" width="5.42578125" style="554" customWidth="1"/>
    <col min="1026" max="1026" width="66.140625" style="554" customWidth="1"/>
    <col min="1027" max="1027" width="8.42578125" style="554" customWidth="1"/>
    <col min="1028" max="1028" width="14.28515625" style="554" customWidth="1"/>
    <col min="1029" max="1029" width="1.7109375" style="554" customWidth="1"/>
    <col min="1030" max="1030" width="14.28515625" style="554" customWidth="1"/>
    <col min="1031" max="1040" width="9.140625" style="554" customWidth="1"/>
    <col min="1041" max="1280" width="11.42578125" style="554" customWidth="1"/>
    <col min="1281" max="1281" width="5.42578125" style="554" customWidth="1"/>
    <col min="1282" max="1282" width="66.140625" style="554" customWidth="1"/>
    <col min="1283" max="1283" width="8.42578125" style="554" customWidth="1"/>
    <col min="1284" max="1284" width="14.28515625" style="554" customWidth="1"/>
    <col min="1285" max="1285" width="1.7109375" style="554" customWidth="1"/>
    <col min="1286" max="1286" width="14.28515625" style="554" customWidth="1"/>
    <col min="1287" max="1296" width="9.140625" style="554" customWidth="1"/>
    <col min="1297" max="1536" width="11.42578125" style="554" customWidth="1"/>
    <col min="1537" max="1537" width="5.42578125" style="554" customWidth="1"/>
    <col min="1538" max="1538" width="66.140625" style="554" customWidth="1"/>
    <col min="1539" max="1539" width="8.42578125" style="554" customWidth="1"/>
    <col min="1540" max="1540" width="14.28515625" style="554" customWidth="1"/>
    <col min="1541" max="1541" width="1.7109375" style="554" customWidth="1"/>
    <col min="1542" max="1542" width="14.28515625" style="554" customWidth="1"/>
    <col min="1543" max="1552" width="9.140625" style="554" customWidth="1"/>
    <col min="1553" max="1792" width="11.42578125" style="554" customWidth="1"/>
    <col min="1793" max="1793" width="5.42578125" style="554" customWidth="1"/>
    <col min="1794" max="1794" width="66.140625" style="554" customWidth="1"/>
    <col min="1795" max="1795" width="8.42578125" style="554" customWidth="1"/>
    <col min="1796" max="1796" width="14.28515625" style="554" customWidth="1"/>
    <col min="1797" max="1797" width="1.7109375" style="554" customWidth="1"/>
    <col min="1798" max="1798" width="14.28515625" style="554" customWidth="1"/>
    <col min="1799" max="1808" width="9.140625" style="554" customWidth="1"/>
    <col min="1809" max="2048" width="11.42578125" style="554" customWidth="1"/>
    <col min="2049" max="2049" width="5.42578125" style="554" customWidth="1"/>
    <col min="2050" max="2050" width="66.140625" style="554" customWidth="1"/>
    <col min="2051" max="2051" width="8.42578125" style="554" customWidth="1"/>
    <col min="2052" max="2052" width="14.28515625" style="554" customWidth="1"/>
    <col min="2053" max="2053" width="1.7109375" style="554" customWidth="1"/>
    <col min="2054" max="2054" width="14.28515625" style="554" customWidth="1"/>
    <col min="2055" max="2064" width="9.140625" style="554" customWidth="1"/>
    <col min="2065" max="2304" width="11.42578125" style="554" customWidth="1"/>
    <col min="2305" max="2305" width="5.42578125" style="554" customWidth="1"/>
    <col min="2306" max="2306" width="66.140625" style="554" customWidth="1"/>
    <col min="2307" max="2307" width="8.42578125" style="554" customWidth="1"/>
    <col min="2308" max="2308" width="14.28515625" style="554" customWidth="1"/>
    <col min="2309" max="2309" width="1.7109375" style="554" customWidth="1"/>
    <col min="2310" max="2310" width="14.28515625" style="554" customWidth="1"/>
    <col min="2311" max="2320" width="9.140625" style="554" customWidth="1"/>
    <col min="2321" max="2560" width="11.42578125" style="554" customWidth="1"/>
    <col min="2561" max="2561" width="5.42578125" style="554" customWidth="1"/>
    <col min="2562" max="2562" width="66.140625" style="554" customWidth="1"/>
    <col min="2563" max="2563" width="8.42578125" style="554" customWidth="1"/>
    <col min="2564" max="2564" width="14.28515625" style="554" customWidth="1"/>
    <col min="2565" max="2565" width="1.7109375" style="554" customWidth="1"/>
    <col min="2566" max="2566" width="14.28515625" style="554" customWidth="1"/>
    <col min="2567" max="2576" width="9.140625" style="554" customWidth="1"/>
    <col min="2577" max="2816" width="11.42578125" style="554" customWidth="1"/>
    <col min="2817" max="2817" width="5.42578125" style="554" customWidth="1"/>
    <col min="2818" max="2818" width="66.140625" style="554" customWidth="1"/>
    <col min="2819" max="2819" width="8.42578125" style="554" customWidth="1"/>
    <col min="2820" max="2820" width="14.28515625" style="554" customWidth="1"/>
    <col min="2821" max="2821" width="1.7109375" style="554" customWidth="1"/>
    <col min="2822" max="2822" width="14.28515625" style="554" customWidth="1"/>
    <col min="2823" max="2832" width="9.140625" style="554" customWidth="1"/>
    <col min="2833" max="3072" width="11.42578125" style="554" customWidth="1"/>
    <col min="3073" max="3073" width="5.42578125" style="554" customWidth="1"/>
    <col min="3074" max="3074" width="66.140625" style="554" customWidth="1"/>
    <col min="3075" max="3075" width="8.42578125" style="554" customWidth="1"/>
    <col min="3076" max="3076" width="14.28515625" style="554" customWidth="1"/>
    <col min="3077" max="3077" width="1.7109375" style="554" customWidth="1"/>
    <col min="3078" max="3078" width="14.28515625" style="554" customWidth="1"/>
    <col min="3079" max="3088" width="9.140625" style="554" customWidth="1"/>
    <col min="3089" max="3328" width="11.42578125" style="554" customWidth="1"/>
    <col min="3329" max="3329" width="5.42578125" style="554" customWidth="1"/>
    <col min="3330" max="3330" width="66.140625" style="554" customWidth="1"/>
    <col min="3331" max="3331" width="8.42578125" style="554" customWidth="1"/>
    <col min="3332" max="3332" width="14.28515625" style="554" customWidth="1"/>
    <col min="3333" max="3333" width="1.7109375" style="554" customWidth="1"/>
    <col min="3334" max="3334" width="14.28515625" style="554" customWidth="1"/>
    <col min="3335" max="3344" width="9.140625" style="554" customWidth="1"/>
    <col min="3345" max="3584" width="11.42578125" style="554" customWidth="1"/>
    <col min="3585" max="3585" width="5.42578125" style="554" customWidth="1"/>
    <col min="3586" max="3586" width="66.140625" style="554" customWidth="1"/>
    <col min="3587" max="3587" width="8.42578125" style="554" customWidth="1"/>
    <col min="3588" max="3588" width="14.28515625" style="554" customWidth="1"/>
    <col min="3589" max="3589" width="1.7109375" style="554" customWidth="1"/>
    <col min="3590" max="3590" width="14.28515625" style="554" customWidth="1"/>
    <col min="3591" max="3600" width="9.140625" style="554" customWidth="1"/>
    <col min="3601" max="3840" width="11.42578125" style="554" customWidth="1"/>
    <col min="3841" max="3841" width="5.42578125" style="554" customWidth="1"/>
    <col min="3842" max="3842" width="66.140625" style="554" customWidth="1"/>
    <col min="3843" max="3843" width="8.42578125" style="554" customWidth="1"/>
    <col min="3844" max="3844" width="14.28515625" style="554" customWidth="1"/>
    <col min="3845" max="3845" width="1.7109375" style="554" customWidth="1"/>
    <col min="3846" max="3846" width="14.28515625" style="554" customWidth="1"/>
    <col min="3847" max="3856" width="9.140625" style="554" customWidth="1"/>
    <col min="3857" max="4096" width="11.42578125" style="554" customWidth="1"/>
    <col min="4097" max="4097" width="5.42578125" style="554" customWidth="1"/>
    <col min="4098" max="4098" width="66.140625" style="554" customWidth="1"/>
    <col min="4099" max="4099" width="8.42578125" style="554" customWidth="1"/>
    <col min="4100" max="4100" width="14.28515625" style="554" customWidth="1"/>
    <col min="4101" max="4101" width="1.7109375" style="554" customWidth="1"/>
    <col min="4102" max="4102" width="14.28515625" style="554" customWidth="1"/>
    <col min="4103" max="4112" width="9.140625" style="554" customWidth="1"/>
    <col min="4113" max="4352" width="11.42578125" style="554" customWidth="1"/>
    <col min="4353" max="4353" width="5.42578125" style="554" customWidth="1"/>
    <col min="4354" max="4354" width="66.140625" style="554" customWidth="1"/>
    <col min="4355" max="4355" width="8.42578125" style="554" customWidth="1"/>
    <col min="4356" max="4356" width="14.28515625" style="554" customWidth="1"/>
    <col min="4357" max="4357" width="1.7109375" style="554" customWidth="1"/>
    <col min="4358" max="4358" width="14.28515625" style="554" customWidth="1"/>
    <col min="4359" max="4368" width="9.140625" style="554" customWidth="1"/>
    <col min="4369" max="4608" width="11.42578125" style="554" customWidth="1"/>
    <col min="4609" max="4609" width="5.42578125" style="554" customWidth="1"/>
    <col min="4610" max="4610" width="66.140625" style="554" customWidth="1"/>
    <col min="4611" max="4611" width="8.42578125" style="554" customWidth="1"/>
    <col min="4612" max="4612" width="14.28515625" style="554" customWidth="1"/>
    <col min="4613" max="4613" width="1.7109375" style="554" customWidth="1"/>
    <col min="4614" max="4614" width="14.28515625" style="554" customWidth="1"/>
    <col min="4615" max="4624" width="9.140625" style="554" customWidth="1"/>
    <col min="4625" max="4864" width="11.42578125" style="554" customWidth="1"/>
    <col min="4865" max="4865" width="5.42578125" style="554" customWidth="1"/>
    <col min="4866" max="4866" width="66.140625" style="554" customWidth="1"/>
    <col min="4867" max="4867" width="8.42578125" style="554" customWidth="1"/>
    <col min="4868" max="4868" width="14.28515625" style="554" customWidth="1"/>
    <col min="4869" max="4869" width="1.7109375" style="554" customWidth="1"/>
    <col min="4870" max="4870" width="14.28515625" style="554" customWidth="1"/>
    <col min="4871" max="4880" width="9.140625" style="554" customWidth="1"/>
    <col min="4881" max="5120" width="11.42578125" style="554" customWidth="1"/>
    <col min="5121" max="5121" width="5.42578125" style="554" customWidth="1"/>
    <col min="5122" max="5122" width="66.140625" style="554" customWidth="1"/>
    <col min="5123" max="5123" width="8.42578125" style="554" customWidth="1"/>
    <col min="5124" max="5124" width="14.28515625" style="554" customWidth="1"/>
    <col min="5125" max="5125" width="1.7109375" style="554" customWidth="1"/>
    <col min="5126" max="5126" width="14.28515625" style="554" customWidth="1"/>
    <col min="5127" max="5136" width="9.140625" style="554" customWidth="1"/>
    <col min="5137" max="5376" width="11.42578125" style="554" customWidth="1"/>
    <col min="5377" max="5377" width="5.42578125" style="554" customWidth="1"/>
    <col min="5378" max="5378" width="66.140625" style="554" customWidth="1"/>
    <col min="5379" max="5379" width="8.42578125" style="554" customWidth="1"/>
    <col min="5380" max="5380" width="14.28515625" style="554" customWidth="1"/>
    <col min="5381" max="5381" width="1.7109375" style="554" customWidth="1"/>
    <col min="5382" max="5382" width="14.28515625" style="554" customWidth="1"/>
    <col min="5383" max="5392" width="9.140625" style="554" customWidth="1"/>
    <col min="5393" max="5632" width="11.42578125" style="554" customWidth="1"/>
    <col min="5633" max="5633" width="5.42578125" style="554" customWidth="1"/>
    <col min="5634" max="5634" width="66.140625" style="554" customWidth="1"/>
    <col min="5635" max="5635" width="8.42578125" style="554" customWidth="1"/>
    <col min="5636" max="5636" width="14.28515625" style="554" customWidth="1"/>
    <col min="5637" max="5637" width="1.7109375" style="554" customWidth="1"/>
    <col min="5638" max="5638" width="14.28515625" style="554" customWidth="1"/>
    <col min="5639" max="5648" width="9.140625" style="554" customWidth="1"/>
    <col min="5649" max="5888" width="11.42578125" style="554" customWidth="1"/>
    <col min="5889" max="5889" width="5.42578125" style="554" customWidth="1"/>
    <col min="5890" max="5890" width="66.140625" style="554" customWidth="1"/>
    <col min="5891" max="5891" width="8.42578125" style="554" customWidth="1"/>
    <col min="5892" max="5892" width="14.28515625" style="554" customWidth="1"/>
    <col min="5893" max="5893" width="1.7109375" style="554" customWidth="1"/>
    <col min="5894" max="5894" width="14.28515625" style="554" customWidth="1"/>
    <col min="5895" max="5904" width="9.140625" style="554" customWidth="1"/>
    <col min="5905" max="6144" width="11.42578125" style="554" customWidth="1"/>
    <col min="6145" max="6145" width="5.42578125" style="554" customWidth="1"/>
    <col min="6146" max="6146" width="66.140625" style="554" customWidth="1"/>
    <col min="6147" max="6147" width="8.42578125" style="554" customWidth="1"/>
    <col min="6148" max="6148" width="14.28515625" style="554" customWidth="1"/>
    <col min="6149" max="6149" width="1.7109375" style="554" customWidth="1"/>
    <col min="6150" max="6150" width="14.28515625" style="554" customWidth="1"/>
    <col min="6151" max="6160" width="9.140625" style="554" customWidth="1"/>
    <col min="6161" max="6400" width="11.42578125" style="554" customWidth="1"/>
    <col min="6401" max="6401" width="5.42578125" style="554" customWidth="1"/>
    <col min="6402" max="6402" width="66.140625" style="554" customWidth="1"/>
    <col min="6403" max="6403" width="8.42578125" style="554" customWidth="1"/>
    <col min="6404" max="6404" width="14.28515625" style="554" customWidth="1"/>
    <col min="6405" max="6405" width="1.7109375" style="554" customWidth="1"/>
    <col min="6406" max="6406" width="14.28515625" style="554" customWidth="1"/>
    <col min="6407" max="6416" width="9.140625" style="554" customWidth="1"/>
    <col min="6417" max="6656" width="11.42578125" style="554" customWidth="1"/>
    <col min="6657" max="6657" width="5.42578125" style="554" customWidth="1"/>
    <col min="6658" max="6658" width="66.140625" style="554" customWidth="1"/>
    <col min="6659" max="6659" width="8.42578125" style="554" customWidth="1"/>
    <col min="6660" max="6660" width="14.28515625" style="554" customWidth="1"/>
    <col min="6661" max="6661" width="1.7109375" style="554" customWidth="1"/>
    <col min="6662" max="6662" width="14.28515625" style="554" customWidth="1"/>
    <col min="6663" max="6672" width="9.140625" style="554" customWidth="1"/>
    <col min="6673" max="6912" width="11.42578125" style="554" customWidth="1"/>
    <col min="6913" max="6913" width="5.42578125" style="554" customWidth="1"/>
    <col min="6914" max="6914" width="66.140625" style="554" customWidth="1"/>
    <col min="6915" max="6915" width="8.42578125" style="554" customWidth="1"/>
    <col min="6916" max="6916" width="14.28515625" style="554" customWidth="1"/>
    <col min="6917" max="6917" width="1.7109375" style="554" customWidth="1"/>
    <col min="6918" max="6918" width="14.28515625" style="554" customWidth="1"/>
    <col min="6919" max="6928" width="9.140625" style="554" customWidth="1"/>
    <col min="6929" max="7168" width="11.42578125" style="554" customWidth="1"/>
    <col min="7169" max="7169" width="5.42578125" style="554" customWidth="1"/>
    <col min="7170" max="7170" width="66.140625" style="554" customWidth="1"/>
    <col min="7171" max="7171" width="8.42578125" style="554" customWidth="1"/>
    <col min="7172" max="7172" width="14.28515625" style="554" customWidth="1"/>
    <col min="7173" max="7173" width="1.7109375" style="554" customWidth="1"/>
    <col min="7174" max="7174" width="14.28515625" style="554" customWidth="1"/>
    <col min="7175" max="7184" width="9.140625" style="554" customWidth="1"/>
    <col min="7185" max="7424" width="11.42578125" style="554" customWidth="1"/>
    <col min="7425" max="7425" width="5.42578125" style="554" customWidth="1"/>
    <col min="7426" max="7426" width="66.140625" style="554" customWidth="1"/>
    <col min="7427" max="7427" width="8.42578125" style="554" customWidth="1"/>
    <col min="7428" max="7428" width="14.28515625" style="554" customWidth="1"/>
    <col min="7429" max="7429" width="1.7109375" style="554" customWidth="1"/>
    <col min="7430" max="7430" width="14.28515625" style="554" customWidth="1"/>
    <col min="7431" max="7440" width="9.140625" style="554" customWidth="1"/>
    <col min="7441" max="7680" width="11.42578125" style="554" customWidth="1"/>
    <col min="7681" max="7681" width="5.42578125" style="554" customWidth="1"/>
    <col min="7682" max="7682" width="66.140625" style="554" customWidth="1"/>
    <col min="7683" max="7683" width="8.42578125" style="554" customWidth="1"/>
    <col min="7684" max="7684" width="14.28515625" style="554" customWidth="1"/>
    <col min="7685" max="7685" width="1.7109375" style="554" customWidth="1"/>
    <col min="7686" max="7686" width="14.28515625" style="554" customWidth="1"/>
    <col min="7687" max="7696" width="9.140625" style="554" customWidth="1"/>
    <col min="7697" max="7936" width="11.42578125" style="554" customWidth="1"/>
    <col min="7937" max="7937" width="5.42578125" style="554" customWidth="1"/>
    <col min="7938" max="7938" width="66.140625" style="554" customWidth="1"/>
    <col min="7939" max="7939" width="8.42578125" style="554" customWidth="1"/>
    <col min="7940" max="7940" width="14.28515625" style="554" customWidth="1"/>
    <col min="7941" max="7941" width="1.7109375" style="554" customWidth="1"/>
    <col min="7942" max="7942" width="14.28515625" style="554" customWidth="1"/>
    <col min="7943" max="7952" width="9.140625" style="554" customWidth="1"/>
    <col min="7953" max="8192" width="11.42578125" style="554" customWidth="1"/>
    <col min="8193" max="8193" width="5.42578125" style="554" customWidth="1"/>
    <col min="8194" max="8194" width="66.140625" style="554" customWidth="1"/>
    <col min="8195" max="8195" width="8.42578125" style="554" customWidth="1"/>
    <col min="8196" max="8196" width="14.28515625" style="554" customWidth="1"/>
    <col min="8197" max="8197" width="1.7109375" style="554" customWidth="1"/>
    <col min="8198" max="8198" width="14.28515625" style="554" customWidth="1"/>
    <col min="8199" max="8208" width="9.140625" style="554" customWidth="1"/>
    <col min="8209" max="8448" width="11.42578125" style="554" customWidth="1"/>
    <col min="8449" max="8449" width="5.42578125" style="554" customWidth="1"/>
    <col min="8450" max="8450" width="66.140625" style="554" customWidth="1"/>
    <col min="8451" max="8451" width="8.42578125" style="554" customWidth="1"/>
    <col min="8452" max="8452" width="14.28515625" style="554" customWidth="1"/>
    <col min="8453" max="8453" width="1.7109375" style="554" customWidth="1"/>
    <col min="8454" max="8454" width="14.28515625" style="554" customWidth="1"/>
    <col min="8455" max="8464" width="9.140625" style="554" customWidth="1"/>
    <col min="8465" max="8704" width="11.42578125" style="554" customWidth="1"/>
    <col min="8705" max="8705" width="5.42578125" style="554" customWidth="1"/>
    <col min="8706" max="8706" width="66.140625" style="554" customWidth="1"/>
    <col min="8707" max="8707" width="8.42578125" style="554" customWidth="1"/>
    <col min="8708" max="8708" width="14.28515625" style="554" customWidth="1"/>
    <col min="8709" max="8709" width="1.7109375" style="554" customWidth="1"/>
    <col min="8710" max="8710" width="14.28515625" style="554" customWidth="1"/>
    <col min="8711" max="8720" width="9.140625" style="554" customWidth="1"/>
    <col min="8721" max="8960" width="11.42578125" style="554" customWidth="1"/>
    <col min="8961" max="8961" width="5.42578125" style="554" customWidth="1"/>
    <col min="8962" max="8962" width="66.140625" style="554" customWidth="1"/>
    <col min="8963" max="8963" width="8.42578125" style="554" customWidth="1"/>
    <col min="8964" max="8964" width="14.28515625" style="554" customWidth="1"/>
    <col min="8965" max="8965" width="1.7109375" style="554" customWidth="1"/>
    <col min="8966" max="8966" width="14.28515625" style="554" customWidth="1"/>
    <col min="8967" max="8976" width="9.140625" style="554" customWidth="1"/>
    <col min="8977" max="9216" width="11.42578125" style="554" customWidth="1"/>
    <col min="9217" max="9217" width="5.42578125" style="554" customWidth="1"/>
    <col min="9218" max="9218" width="66.140625" style="554" customWidth="1"/>
    <col min="9219" max="9219" width="8.42578125" style="554" customWidth="1"/>
    <col min="9220" max="9220" width="14.28515625" style="554" customWidth="1"/>
    <col min="9221" max="9221" width="1.7109375" style="554" customWidth="1"/>
    <col min="9222" max="9222" width="14.28515625" style="554" customWidth="1"/>
    <col min="9223" max="9232" width="9.140625" style="554" customWidth="1"/>
    <col min="9233" max="9472" width="11.42578125" style="554" customWidth="1"/>
    <col min="9473" max="9473" width="5.42578125" style="554" customWidth="1"/>
    <col min="9474" max="9474" width="66.140625" style="554" customWidth="1"/>
    <col min="9475" max="9475" width="8.42578125" style="554" customWidth="1"/>
    <col min="9476" max="9476" width="14.28515625" style="554" customWidth="1"/>
    <col min="9477" max="9477" width="1.7109375" style="554" customWidth="1"/>
    <col min="9478" max="9478" width="14.28515625" style="554" customWidth="1"/>
    <col min="9479" max="9488" width="9.140625" style="554" customWidth="1"/>
    <col min="9489" max="9728" width="11.42578125" style="554" customWidth="1"/>
    <col min="9729" max="9729" width="5.42578125" style="554" customWidth="1"/>
    <col min="9730" max="9730" width="66.140625" style="554" customWidth="1"/>
    <col min="9731" max="9731" width="8.42578125" style="554" customWidth="1"/>
    <col min="9732" max="9732" width="14.28515625" style="554" customWidth="1"/>
    <col min="9733" max="9733" width="1.7109375" style="554" customWidth="1"/>
    <col min="9734" max="9734" width="14.28515625" style="554" customWidth="1"/>
    <col min="9735" max="9744" width="9.140625" style="554" customWidth="1"/>
    <col min="9745" max="9984" width="11.42578125" style="554" customWidth="1"/>
    <col min="9985" max="9985" width="5.42578125" style="554" customWidth="1"/>
    <col min="9986" max="9986" width="66.140625" style="554" customWidth="1"/>
    <col min="9987" max="9987" width="8.42578125" style="554" customWidth="1"/>
    <col min="9988" max="9988" width="14.28515625" style="554" customWidth="1"/>
    <col min="9989" max="9989" width="1.7109375" style="554" customWidth="1"/>
    <col min="9990" max="9990" width="14.28515625" style="554" customWidth="1"/>
    <col min="9991" max="10000" width="9.140625" style="554" customWidth="1"/>
    <col min="10001" max="10240" width="11.42578125" style="554" customWidth="1"/>
    <col min="10241" max="10241" width="5.42578125" style="554" customWidth="1"/>
    <col min="10242" max="10242" width="66.140625" style="554" customWidth="1"/>
    <col min="10243" max="10243" width="8.42578125" style="554" customWidth="1"/>
    <col min="10244" max="10244" width="14.28515625" style="554" customWidth="1"/>
    <col min="10245" max="10245" width="1.7109375" style="554" customWidth="1"/>
    <col min="10246" max="10246" width="14.28515625" style="554" customWidth="1"/>
    <col min="10247" max="10256" width="9.140625" style="554" customWidth="1"/>
    <col min="10257" max="10496" width="11.42578125" style="554" customWidth="1"/>
    <col min="10497" max="10497" width="5.42578125" style="554" customWidth="1"/>
    <col min="10498" max="10498" width="66.140625" style="554" customWidth="1"/>
    <col min="10499" max="10499" width="8.42578125" style="554" customWidth="1"/>
    <col min="10500" max="10500" width="14.28515625" style="554" customWidth="1"/>
    <col min="10501" max="10501" width="1.7109375" style="554" customWidth="1"/>
    <col min="10502" max="10502" width="14.28515625" style="554" customWidth="1"/>
    <col min="10503" max="10512" width="9.140625" style="554" customWidth="1"/>
    <col min="10513" max="10752" width="11.42578125" style="554" customWidth="1"/>
    <col min="10753" max="10753" width="5.42578125" style="554" customWidth="1"/>
    <col min="10754" max="10754" width="66.140625" style="554" customWidth="1"/>
    <col min="10755" max="10755" width="8.42578125" style="554" customWidth="1"/>
    <col min="10756" max="10756" width="14.28515625" style="554" customWidth="1"/>
    <col min="10757" max="10757" width="1.7109375" style="554" customWidth="1"/>
    <col min="10758" max="10758" width="14.28515625" style="554" customWidth="1"/>
    <col min="10759" max="10768" width="9.140625" style="554" customWidth="1"/>
    <col min="10769" max="11008" width="11.42578125" style="554" customWidth="1"/>
    <col min="11009" max="11009" width="5.42578125" style="554" customWidth="1"/>
    <col min="11010" max="11010" width="66.140625" style="554" customWidth="1"/>
    <col min="11011" max="11011" width="8.42578125" style="554" customWidth="1"/>
    <col min="11012" max="11012" width="14.28515625" style="554" customWidth="1"/>
    <col min="11013" max="11013" width="1.7109375" style="554" customWidth="1"/>
    <col min="11014" max="11014" width="14.28515625" style="554" customWidth="1"/>
    <col min="11015" max="11024" width="9.140625" style="554" customWidth="1"/>
    <col min="11025" max="11264" width="11.42578125" style="554" customWidth="1"/>
    <col min="11265" max="11265" width="5.42578125" style="554" customWidth="1"/>
    <col min="11266" max="11266" width="66.140625" style="554" customWidth="1"/>
    <col min="11267" max="11267" width="8.42578125" style="554" customWidth="1"/>
    <col min="11268" max="11268" width="14.28515625" style="554" customWidth="1"/>
    <col min="11269" max="11269" width="1.7109375" style="554" customWidth="1"/>
    <col min="11270" max="11270" width="14.28515625" style="554" customWidth="1"/>
    <col min="11271" max="11280" width="9.140625" style="554" customWidth="1"/>
    <col min="11281" max="11520" width="11.42578125" style="554" customWidth="1"/>
    <col min="11521" max="11521" width="5.42578125" style="554" customWidth="1"/>
    <col min="11522" max="11522" width="66.140625" style="554" customWidth="1"/>
    <col min="11523" max="11523" width="8.42578125" style="554" customWidth="1"/>
    <col min="11524" max="11524" width="14.28515625" style="554" customWidth="1"/>
    <col min="11525" max="11525" width="1.7109375" style="554" customWidth="1"/>
    <col min="11526" max="11526" width="14.28515625" style="554" customWidth="1"/>
    <col min="11527" max="11536" width="9.140625" style="554" customWidth="1"/>
    <col min="11537" max="11776" width="11.42578125" style="554" customWidth="1"/>
    <col min="11777" max="11777" width="5.42578125" style="554" customWidth="1"/>
    <col min="11778" max="11778" width="66.140625" style="554" customWidth="1"/>
    <col min="11779" max="11779" width="8.42578125" style="554" customWidth="1"/>
    <col min="11780" max="11780" width="14.28515625" style="554" customWidth="1"/>
    <col min="11781" max="11781" width="1.7109375" style="554" customWidth="1"/>
    <col min="11782" max="11782" width="14.28515625" style="554" customWidth="1"/>
    <col min="11783" max="11792" width="9.140625" style="554" customWidth="1"/>
    <col min="11793" max="12032" width="11.42578125" style="554" customWidth="1"/>
    <col min="12033" max="12033" width="5.42578125" style="554" customWidth="1"/>
    <col min="12034" max="12034" width="66.140625" style="554" customWidth="1"/>
    <col min="12035" max="12035" width="8.42578125" style="554" customWidth="1"/>
    <col min="12036" max="12036" width="14.28515625" style="554" customWidth="1"/>
    <col min="12037" max="12037" width="1.7109375" style="554" customWidth="1"/>
    <col min="12038" max="12038" width="14.28515625" style="554" customWidth="1"/>
    <col min="12039" max="12048" width="9.140625" style="554" customWidth="1"/>
    <col min="12049" max="12288" width="11.42578125" style="554" customWidth="1"/>
    <col min="12289" max="12289" width="5.42578125" style="554" customWidth="1"/>
    <col min="12290" max="12290" width="66.140625" style="554" customWidth="1"/>
    <col min="12291" max="12291" width="8.42578125" style="554" customWidth="1"/>
    <col min="12292" max="12292" width="14.28515625" style="554" customWidth="1"/>
    <col min="12293" max="12293" width="1.7109375" style="554" customWidth="1"/>
    <col min="12294" max="12294" width="14.28515625" style="554" customWidth="1"/>
    <col min="12295" max="12304" width="9.140625" style="554" customWidth="1"/>
    <col min="12305" max="12544" width="11.42578125" style="554" customWidth="1"/>
    <col min="12545" max="12545" width="5.42578125" style="554" customWidth="1"/>
    <col min="12546" max="12546" width="66.140625" style="554" customWidth="1"/>
    <col min="12547" max="12547" width="8.42578125" style="554" customWidth="1"/>
    <col min="12548" max="12548" width="14.28515625" style="554" customWidth="1"/>
    <col min="12549" max="12549" width="1.7109375" style="554" customWidth="1"/>
    <col min="12550" max="12550" width="14.28515625" style="554" customWidth="1"/>
    <col min="12551" max="12560" width="9.140625" style="554" customWidth="1"/>
    <col min="12561" max="12800" width="11.42578125" style="554" customWidth="1"/>
    <col min="12801" max="12801" width="5.42578125" style="554" customWidth="1"/>
    <col min="12802" max="12802" width="66.140625" style="554" customWidth="1"/>
    <col min="12803" max="12803" width="8.42578125" style="554" customWidth="1"/>
    <col min="12804" max="12804" width="14.28515625" style="554" customWidth="1"/>
    <col min="12805" max="12805" width="1.7109375" style="554" customWidth="1"/>
    <col min="12806" max="12806" width="14.28515625" style="554" customWidth="1"/>
    <col min="12807" max="12816" width="9.140625" style="554" customWidth="1"/>
    <col min="12817" max="13056" width="11.42578125" style="554" customWidth="1"/>
    <col min="13057" max="13057" width="5.42578125" style="554" customWidth="1"/>
    <col min="13058" max="13058" width="66.140625" style="554" customWidth="1"/>
    <col min="13059" max="13059" width="8.42578125" style="554" customWidth="1"/>
    <col min="13060" max="13060" width="14.28515625" style="554" customWidth="1"/>
    <col min="13061" max="13061" width="1.7109375" style="554" customWidth="1"/>
    <col min="13062" max="13062" width="14.28515625" style="554" customWidth="1"/>
    <col min="13063" max="13072" width="9.140625" style="554" customWidth="1"/>
    <col min="13073" max="13312" width="11.42578125" style="554" customWidth="1"/>
    <col min="13313" max="13313" width="5.42578125" style="554" customWidth="1"/>
    <col min="13314" max="13314" width="66.140625" style="554" customWidth="1"/>
    <col min="13315" max="13315" width="8.42578125" style="554" customWidth="1"/>
    <col min="13316" max="13316" width="14.28515625" style="554" customWidth="1"/>
    <col min="13317" max="13317" width="1.7109375" style="554" customWidth="1"/>
    <col min="13318" max="13318" width="14.28515625" style="554" customWidth="1"/>
    <col min="13319" max="13328" width="9.140625" style="554" customWidth="1"/>
    <col min="13329" max="13568" width="11.42578125" style="554" customWidth="1"/>
    <col min="13569" max="13569" width="5.42578125" style="554" customWidth="1"/>
    <col min="13570" max="13570" width="66.140625" style="554" customWidth="1"/>
    <col min="13571" max="13571" width="8.42578125" style="554" customWidth="1"/>
    <col min="13572" max="13572" width="14.28515625" style="554" customWidth="1"/>
    <col min="13573" max="13573" width="1.7109375" style="554" customWidth="1"/>
    <col min="13574" max="13574" width="14.28515625" style="554" customWidth="1"/>
    <col min="13575" max="13584" width="9.140625" style="554" customWidth="1"/>
    <col min="13585" max="13824" width="11.42578125" style="554" customWidth="1"/>
    <col min="13825" max="13825" width="5.42578125" style="554" customWidth="1"/>
    <col min="13826" max="13826" width="66.140625" style="554" customWidth="1"/>
    <col min="13827" max="13827" width="8.42578125" style="554" customWidth="1"/>
    <col min="13828" max="13828" width="14.28515625" style="554" customWidth="1"/>
    <col min="13829" max="13829" width="1.7109375" style="554" customWidth="1"/>
    <col min="13830" max="13830" width="14.28515625" style="554" customWidth="1"/>
    <col min="13831" max="13840" width="9.140625" style="554" customWidth="1"/>
    <col min="13841" max="14080" width="11.42578125" style="554" customWidth="1"/>
    <col min="14081" max="14081" width="5.42578125" style="554" customWidth="1"/>
    <col min="14082" max="14082" width="66.140625" style="554" customWidth="1"/>
    <col min="14083" max="14083" width="8.42578125" style="554" customWidth="1"/>
    <col min="14084" max="14084" width="14.28515625" style="554" customWidth="1"/>
    <col min="14085" max="14085" width="1.7109375" style="554" customWidth="1"/>
    <col min="14086" max="14086" width="14.28515625" style="554" customWidth="1"/>
    <col min="14087" max="14096" width="9.140625" style="554" customWidth="1"/>
    <col min="14097" max="14336" width="11.42578125" style="554" customWidth="1"/>
    <col min="14337" max="14337" width="5.42578125" style="554" customWidth="1"/>
    <col min="14338" max="14338" width="66.140625" style="554" customWidth="1"/>
    <col min="14339" max="14339" width="8.42578125" style="554" customWidth="1"/>
    <col min="14340" max="14340" width="14.28515625" style="554" customWidth="1"/>
    <col min="14341" max="14341" width="1.7109375" style="554" customWidth="1"/>
    <col min="14342" max="14342" width="14.28515625" style="554" customWidth="1"/>
    <col min="14343" max="14352" width="9.140625" style="554" customWidth="1"/>
    <col min="14353" max="14592" width="11.42578125" style="554" customWidth="1"/>
    <col min="14593" max="14593" width="5.42578125" style="554" customWidth="1"/>
    <col min="14594" max="14594" width="66.140625" style="554" customWidth="1"/>
    <col min="14595" max="14595" width="8.42578125" style="554" customWidth="1"/>
    <col min="14596" max="14596" width="14.28515625" style="554" customWidth="1"/>
    <col min="14597" max="14597" width="1.7109375" style="554" customWidth="1"/>
    <col min="14598" max="14598" width="14.28515625" style="554" customWidth="1"/>
    <col min="14599" max="14608" width="9.140625" style="554" customWidth="1"/>
    <col min="14609" max="14848" width="11.42578125" style="554" customWidth="1"/>
    <col min="14849" max="14849" width="5.42578125" style="554" customWidth="1"/>
    <col min="14850" max="14850" width="66.140625" style="554" customWidth="1"/>
    <col min="14851" max="14851" width="8.42578125" style="554" customWidth="1"/>
    <col min="14852" max="14852" width="14.28515625" style="554" customWidth="1"/>
    <col min="14853" max="14853" width="1.7109375" style="554" customWidth="1"/>
    <col min="14854" max="14854" width="14.28515625" style="554" customWidth="1"/>
    <col min="14855" max="14864" width="9.140625" style="554" customWidth="1"/>
    <col min="14865" max="15104" width="11.42578125" style="554" customWidth="1"/>
    <col min="15105" max="15105" width="5.42578125" style="554" customWidth="1"/>
    <col min="15106" max="15106" width="66.140625" style="554" customWidth="1"/>
    <col min="15107" max="15107" width="8.42578125" style="554" customWidth="1"/>
    <col min="15108" max="15108" width="14.28515625" style="554" customWidth="1"/>
    <col min="15109" max="15109" width="1.7109375" style="554" customWidth="1"/>
    <col min="15110" max="15110" width="14.28515625" style="554" customWidth="1"/>
    <col min="15111" max="15120" width="9.140625" style="554" customWidth="1"/>
    <col min="15121" max="15360" width="11.42578125" style="554" customWidth="1"/>
    <col min="15361" max="15361" width="5.42578125" style="554" customWidth="1"/>
    <col min="15362" max="15362" width="66.140625" style="554" customWidth="1"/>
    <col min="15363" max="15363" width="8.42578125" style="554" customWidth="1"/>
    <col min="15364" max="15364" width="14.28515625" style="554" customWidth="1"/>
    <col min="15365" max="15365" width="1.7109375" style="554" customWidth="1"/>
    <col min="15366" max="15366" width="14.28515625" style="554" customWidth="1"/>
    <col min="15367" max="15376" width="9.140625" style="554" customWidth="1"/>
    <col min="15377" max="15616" width="11.42578125" style="554" customWidth="1"/>
    <col min="15617" max="15617" width="5.42578125" style="554" customWidth="1"/>
    <col min="15618" max="15618" width="66.140625" style="554" customWidth="1"/>
    <col min="15619" max="15619" width="8.42578125" style="554" customWidth="1"/>
    <col min="15620" max="15620" width="14.28515625" style="554" customWidth="1"/>
    <col min="15621" max="15621" width="1.7109375" style="554" customWidth="1"/>
    <col min="15622" max="15622" width="14.28515625" style="554" customWidth="1"/>
    <col min="15623" max="15632" width="9.140625" style="554" customWidth="1"/>
    <col min="15633" max="15872" width="11.42578125" style="554" customWidth="1"/>
    <col min="15873" max="15873" width="5.42578125" style="554" customWidth="1"/>
    <col min="15874" max="15874" width="66.140625" style="554" customWidth="1"/>
    <col min="15875" max="15875" width="8.42578125" style="554" customWidth="1"/>
    <col min="15876" max="15876" width="14.28515625" style="554" customWidth="1"/>
    <col min="15877" max="15877" width="1.7109375" style="554" customWidth="1"/>
    <col min="15878" max="15878" width="14.28515625" style="554" customWidth="1"/>
    <col min="15879" max="15888" width="9.140625" style="554" customWidth="1"/>
    <col min="15889" max="16128" width="11.42578125" style="554" customWidth="1"/>
    <col min="16129" max="16129" width="5.42578125" style="554" customWidth="1"/>
    <col min="16130" max="16130" width="66.140625" style="554" customWidth="1"/>
    <col min="16131" max="16131" width="8.42578125" style="554" customWidth="1"/>
    <col min="16132" max="16132" width="14.28515625" style="554" customWidth="1"/>
    <col min="16133" max="16133" width="1.7109375" style="554" customWidth="1"/>
    <col min="16134" max="16134" width="14.28515625" style="554" customWidth="1"/>
    <col min="16135" max="16144" width="9.140625" style="554" customWidth="1"/>
    <col min="16145" max="16384" width="11.42578125" style="554" customWidth="1"/>
  </cols>
  <sheetData>
    <row r="1" spans="1:6" x14ac:dyDescent="0.2">
      <c r="A1" s="685" t="s">
        <v>413</v>
      </c>
      <c r="B1" s="687" t="s">
        <v>412</v>
      </c>
      <c r="C1" s="576"/>
    </row>
    <row r="2" spans="1:6" s="550" customFormat="1" ht="12.75" customHeight="1" x14ac:dyDescent="0.2">
      <c r="B2" s="548" t="s">
        <v>382</v>
      </c>
      <c r="C2" s="548"/>
      <c r="E2" s="578"/>
    </row>
    <row r="3" spans="1:6" s="550" customFormat="1" ht="3.95" customHeight="1" x14ac:dyDescent="0.2">
      <c r="B3" s="548"/>
      <c r="C3" s="548"/>
      <c r="E3" s="578"/>
    </row>
    <row r="4" spans="1:6" s="550" customFormat="1" ht="12.75" customHeight="1" x14ac:dyDescent="0.2">
      <c r="D4" s="875" t="s">
        <v>404</v>
      </c>
      <c r="E4" s="875"/>
      <c r="F4" s="875"/>
    </row>
    <row r="5" spans="1:6" s="550" customFormat="1" ht="12.75" customHeight="1" x14ac:dyDescent="0.2">
      <c r="D5" s="616"/>
      <c r="E5" s="616"/>
      <c r="F5" s="616" t="s">
        <v>383</v>
      </c>
    </row>
    <row r="6" spans="1:6" ht="12.75" customHeight="1" x14ac:dyDescent="0.2">
      <c r="B6" s="326"/>
      <c r="C6" s="326"/>
      <c r="D6" s="617">
        <v>2014</v>
      </c>
      <c r="E6" s="618"/>
      <c r="F6" s="619">
        <v>2013</v>
      </c>
    </row>
    <row r="7" spans="1:6" ht="12.75" customHeight="1" x14ac:dyDescent="0.2">
      <c r="B7" s="555"/>
      <c r="C7" s="555"/>
      <c r="D7" s="620" t="s">
        <v>14</v>
      </c>
      <c r="E7" s="557"/>
      <c r="F7" s="556" t="s">
        <v>14</v>
      </c>
    </row>
    <row r="8" spans="1:6" ht="3.95" customHeight="1" x14ac:dyDescent="0.2">
      <c r="B8" s="558"/>
      <c r="C8" s="558"/>
      <c r="D8" s="559"/>
      <c r="F8" s="326"/>
    </row>
    <row r="9" spans="1:6" ht="12.75" customHeight="1" x14ac:dyDescent="0.2">
      <c r="B9" s="621" t="s">
        <v>384</v>
      </c>
      <c r="C9" s="557"/>
      <c r="D9" s="622">
        <v>6227</v>
      </c>
      <c r="E9" s="623"/>
      <c r="F9" s="624">
        <v>8824</v>
      </c>
    </row>
    <row r="10" spans="1:6" ht="3.95" customHeight="1" x14ac:dyDescent="0.2">
      <c r="B10" s="558"/>
      <c r="C10" s="558"/>
      <c r="D10" s="625"/>
      <c r="E10" s="626"/>
      <c r="F10" s="627"/>
    </row>
    <row r="11" spans="1:6" ht="12.75" customHeight="1" x14ac:dyDescent="0.2">
      <c r="B11" s="564" t="s">
        <v>385</v>
      </c>
      <c r="C11" s="564"/>
      <c r="D11" s="625"/>
      <c r="E11" s="626"/>
      <c r="F11" s="627"/>
    </row>
    <row r="12" spans="1:6" ht="12.75" customHeight="1" x14ac:dyDescent="0.2">
      <c r="B12" s="558" t="s">
        <v>473</v>
      </c>
      <c r="C12" s="564"/>
      <c r="D12" s="628">
        <v>-4279</v>
      </c>
      <c r="E12" s="626"/>
      <c r="F12" s="629">
        <v>-1432</v>
      </c>
    </row>
    <row r="13" spans="1:6" ht="12.75" customHeight="1" x14ac:dyDescent="0.2">
      <c r="B13" s="558" t="s">
        <v>474</v>
      </c>
      <c r="C13" s="564"/>
      <c r="D13" s="628">
        <v>-11</v>
      </c>
      <c r="E13" s="626"/>
      <c r="F13" s="629">
        <v>-6</v>
      </c>
    </row>
    <row r="14" spans="1:6" ht="12.75" customHeight="1" x14ac:dyDescent="0.2">
      <c r="B14" s="558" t="s">
        <v>386</v>
      </c>
      <c r="C14" s="564"/>
      <c r="D14" s="628">
        <v>-2327</v>
      </c>
      <c r="E14" s="626"/>
      <c r="F14" s="629">
        <v>-3758</v>
      </c>
    </row>
    <row r="15" spans="1:6" ht="12.75" customHeight="1" x14ac:dyDescent="0.2">
      <c r="B15" s="558" t="s">
        <v>387</v>
      </c>
      <c r="C15" s="564"/>
      <c r="D15" s="628">
        <v>-4396</v>
      </c>
      <c r="E15" s="626"/>
      <c r="F15" s="629">
        <v>-3958</v>
      </c>
    </row>
    <row r="16" spans="1:6" ht="12.75" customHeight="1" x14ac:dyDescent="0.2">
      <c r="B16" s="558" t="s">
        <v>388</v>
      </c>
      <c r="C16" s="564"/>
      <c r="D16" s="628">
        <v>-214</v>
      </c>
      <c r="E16" s="626"/>
      <c r="F16" s="629">
        <v>-4249</v>
      </c>
    </row>
    <row r="17" spans="2:6" ht="12.75" customHeight="1" x14ac:dyDescent="0.2">
      <c r="B17" s="558" t="s">
        <v>475</v>
      </c>
      <c r="C17" s="564"/>
      <c r="D17" s="628">
        <v>0</v>
      </c>
      <c r="E17" s="626"/>
      <c r="F17" s="629">
        <v>27</v>
      </c>
    </row>
    <row r="18" spans="2:6" ht="12.75" customHeight="1" x14ac:dyDescent="0.2">
      <c r="B18" s="558" t="s">
        <v>476</v>
      </c>
      <c r="C18" s="564"/>
      <c r="D18" s="628">
        <v>34919</v>
      </c>
      <c r="E18" s="626"/>
      <c r="F18" s="629">
        <v>0</v>
      </c>
    </row>
    <row r="19" spans="2:6" ht="12.75" customHeight="1" x14ac:dyDescent="0.2">
      <c r="B19" s="558" t="s">
        <v>104</v>
      </c>
      <c r="C19" s="564"/>
      <c r="D19" s="628">
        <v>79</v>
      </c>
      <c r="E19" s="626"/>
      <c r="F19" s="629">
        <v>105</v>
      </c>
    </row>
    <row r="20" spans="2:6" ht="12.75" customHeight="1" x14ac:dyDescent="0.2">
      <c r="B20" s="558" t="s">
        <v>389</v>
      </c>
      <c r="C20" s="564"/>
      <c r="D20" s="628">
        <v>1483</v>
      </c>
      <c r="E20" s="626"/>
      <c r="F20" s="629">
        <v>1523</v>
      </c>
    </row>
    <row r="21" spans="2:6" ht="12.75" customHeight="1" x14ac:dyDescent="0.2">
      <c r="B21" s="558" t="s">
        <v>477</v>
      </c>
      <c r="C21" s="564"/>
      <c r="D21" s="628">
        <v>4897</v>
      </c>
      <c r="E21" s="626"/>
      <c r="F21" s="629">
        <v>5539</v>
      </c>
    </row>
    <row r="22" spans="2:6" ht="12.75" customHeight="1" x14ac:dyDescent="0.2">
      <c r="B22" s="558" t="s">
        <v>390</v>
      </c>
      <c r="C22" s="564"/>
      <c r="D22" s="628">
        <v>10</v>
      </c>
      <c r="E22" s="626"/>
      <c r="F22" s="629">
        <v>2</v>
      </c>
    </row>
    <row r="23" spans="2:6" ht="12.75" customHeight="1" x14ac:dyDescent="0.2">
      <c r="B23" s="558" t="s">
        <v>391</v>
      </c>
      <c r="C23" s="564"/>
      <c r="D23" s="628">
        <v>582</v>
      </c>
      <c r="E23" s="626"/>
      <c r="F23" s="629">
        <v>461</v>
      </c>
    </row>
    <row r="24" spans="2:6" ht="3.95" customHeight="1" x14ac:dyDescent="0.2">
      <c r="D24" s="630"/>
      <c r="E24" s="626"/>
      <c r="F24" s="631"/>
    </row>
    <row r="25" spans="2:6" ht="12.75" customHeight="1" x14ac:dyDescent="0.2">
      <c r="B25" s="595" t="s">
        <v>507</v>
      </c>
      <c r="C25" s="595"/>
      <c r="D25" s="632">
        <f>SUM(D12:D24)</f>
        <v>30743</v>
      </c>
      <c r="E25" s="633"/>
      <c r="F25" s="634">
        <f>SUM(F12:F24)</f>
        <v>-5746</v>
      </c>
    </row>
    <row r="26" spans="2:6" ht="3.95" customHeight="1" x14ac:dyDescent="0.2">
      <c r="D26" s="635"/>
      <c r="E26" s="626"/>
      <c r="F26" s="636"/>
    </row>
    <row r="27" spans="2:6" ht="12.75" customHeight="1" x14ac:dyDescent="0.2">
      <c r="B27" s="567" t="s">
        <v>392</v>
      </c>
      <c r="C27" s="567"/>
      <c r="D27" s="635"/>
      <c r="E27" s="626"/>
      <c r="F27" s="636"/>
    </row>
    <row r="28" spans="2:6" ht="12.75" customHeight="1" x14ac:dyDescent="0.2">
      <c r="B28" s="554" t="s">
        <v>393</v>
      </c>
      <c r="D28" s="628">
        <v>38</v>
      </c>
      <c r="E28" s="626"/>
      <c r="F28" s="629">
        <v>69</v>
      </c>
    </row>
    <row r="29" spans="2:6" ht="12.75" customHeight="1" x14ac:dyDescent="0.2">
      <c r="B29" s="554" t="s">
        <v>394</v>
      </c>
      <c r="D29" s="628">
        <v>-2887</v>
      </c>
      <c r="E29" s="626"/>
      <c r="F29" s="629">
        <v>1581</v>
      </c>
    </row>
    <row r="30" spans="2:6" ht="12.75" customHeight="1" x14ac:dyDescent="0.2">
      <c r="B30" s="554" t="s">
        <v>395</v>
      </c>
      <c r="D30" s="628">
        <v>1060</v>
      </c>
      <c r="E30" s="626"/>
      <c r="F30" s="629">
        <v>5422</v>
      </c>
    </row>
    <row r="31" spans="2:6" ht="12.75" customHeight="1" x14ac:dyDescent="0.2">
      <c r="B31" s="554" t="s">
        <v>396</v>
      </c>
      <c r="D31" s="628">
        <v>-9788</v>
      </c>
      <c r="E31" s="626"/>
      <c r="F31" s="629">
        <v>-1720</v>
      </c>
    </row>
    <row r="32" spans="2:6" ht="12.75" customHeight="1" x14ac:dyDescent="0.2">
      <c r="B32" s="554" t="s">
        <v>115</v>
      </c>
      <c r="D32" s="628">
        <v>-1033</v>
      </c>
      <c r="E32" s="626"/>
      <c r="F32" s="629">
        <v>-1568</v>
      </c>
    </row>
    <row r="33" spans="2:6" ht="12.75" customHeight="1" x14ac:dyDescent="0.2">
      <c r="B33" s="554" t="s">
        <v>478</v>
      </c>
      <c r="D33" s="628">
        <v>-14291</v>
      </c>
      <c r="E33" s="626"/>
      <c r="F33" s="629">
        <v>0</v>
      </c>
    </row>
    <row r="34" spans="2:6" ht="12.75" customHeight="1" x14ac:dyDescent="0.2">
      <c r="B34" s="554" t="s">
        <v>114</v>
      </c>
      <c r="D34" s="628">
        <v>-5076</v>
      </c>
      <c r="E34" s="626"/>
      <c r="F34" s="629">
        <v>-4806</v>
      </c>
    </row>
    <row r="35" spans="2:6" ht="12.75" customHeight="1" x14ac:dyDescent="0.2">
      <c r="B35" s="554" t="s">
        <v>499</v>
      </c>
      <c r="D35" s="628">
        <v>-264</v>
      </c>
      <c r="E35" s="626"/>
      <c r="F35" s="629">
        <v>-379</v>
      </c>
    </row>
    <row r="36" spans="2:6" ht="12.75" customHeight="1" x14ac:dyDescent="0.2">
      <c r="B36" s="554" t="s">
        <v>397</v>
      </c>
      <c r="D36" s="628">
        <v>-111</v>
      </c>
      <c r="E36" s="626"/>
      <c r="F36" s="629">
        <v>15</v>
      </c>
    </row>
    <row r="37" spans="2:6" ht="12.75" customHeight="1" x14ac:dyDescent="0.2">
      <c r="B37" s="554" t="s">
        <v>508</v>
      </c>
      <c r="D37" s="628">
        <v>0</v>
      </c>
      <c r="E37" s="626"/>
      <c r="F37" s="629">
        <v>168</v>
      </c>
    </row>
    <row r="38" spans="2:6" ht="12.75" customHeight="1" x14ac:dyDescent="0.2">
      <c r="B38" s="554" t="s">
        <v>398</v>
      </c>
      <c r="D38" s="628">
        <v>-1897</v>
      </c>
      <c r="E38" s="626"/>
      <c r="F38" s="629">
        <v>-1525</v>
      </c>
    </row>
    <row r="39" spans="2:6" ht="3.95" customHeight="1" x14ac:dyDescent="0.2">
      <c r="D39" s="630"/>
      <c r="E39" s="626"/>
      <c r="F39" s="631"/>
    </row>
    <row r="40" spans="2:6" ht="12.75" customHeight="1" x14ac:dyDescent="0.2">
      <c r="B40" s="595" t="s">
        <v>399</v>
      </c>
      <c r="C40" s="595"/>
      <c r="D40" s="632">
        <f>SUM(D28:D39)</f>
        <v>-34249</v>
      </c>
      <c r="E40" s="633"/>
      <c r="F40" s="634">
        <f>SUM(F28:F39)</f>
        <v>-2743</v>
      </c>
    </row>
    <row r="41" spans="2:6" ht="3.95" customHeight="1" x14ac:dyDescent="0.2">
      <c r="B41" s="567"/>
      <c r="C41" s="567"/>
      <c r="D41" s="635"/>
      <c r="E41" s="626"/>
      <c r="F41" s="636"/>
    </row>
    <row r="42" spans="2:6" ht="12.75" customHeight="1" x14ac:dyDescent="0.2">
      <c r="B42" s="567" t="s">
        <v>400</v>
      </c>
      <c r="C42" s="567"/>
      <c r="D42" s="637">
        <f>+D40+D25+D9</f>
        <v>2721</v>
      </c>
      <c r="E42" s="626"/>
      <c r="F42" s="638">
        <f>+F40+F25+F9</f>
        <v>335</v>
      </c>
    </row>
    <row r="43" spans="2:6" ht="3.95" customHeight="1" x14ac:dyDescent="0.2">
      <c r="D43" s="628"/>
      <c r="E43" s="626"/>
      <c r="F43" s="629"/>
    </row>
    <row r="44" spans="2:6" ht="12.75" customHeight="1" x14ac:dyDescent="0.2">
      <c r="B44" s="554" t="s">
        <v>509</v>
      </c>
      <c r="C44" s="564"/>
      <c r="D44" s="628">
        <v>7506</v>
      </c>
      <c r="E44" s="626"/>
      <c r="F44" s="629">
        <v>7001</v>
      </c>
    </row>
    <row r="45" spans="2:6" ht="12.75" customHeight="1" x14ac:dyDescent="0.2">
      <c r="B45" s="554" t="s">
        <v>510</v>
      </c>
      <c r="C45" s="564"/>
      <c r="D45" s="628">
        <v>-115</v>
      </c>
      <c r="E45" s="626"/>
      <c r="F45" s="629">
        <v>170</v>
      </c>
    </row>
    <row r="46" spans="2:6" ht="3.95" customHeight="1" x14ac:dyDescent="0.2">
      <c r="D46" s="630"/>
      <c r="E46" s="626"/>
      <c r="F46" s="631"/>
    </row>
    <row r="47" spans="2:6" ht="12.75" customHeight="1" thickBot="1" x14ac:dyDescent="0.25">
      <c r="B47" s="574" t="s">
        <v>511</v>
      </c>
      <c r="C47" s="574"/>
      <c r="D47" s="639">
        <f>SUM(D42:D45)</f>
        <v>10112</v>
      </c>
      <c r="E47" s="640"/>
      <c r="F47" s="641">
        <f>SUM(F42:F45)</f>
        <v>7506</v>
      </c>
    </row>
    <row r="48" spans="2:6" ht="3.95" customHeight="1" x14ac:dyDescent="0.2">
      <c r="E48" s="642"/>
      <c r="F48" s="567"/>
    </row>
    <row r="49" spans="2:6" ht="3.95" customHeight="1" x14ac:dyDescent="0.2">
      <c r="B49" s="575"/>
      <c r="C49" s="575"/>
      <c r="E49" s="642"/>
      <c r="F49" s="567"/>
    </row>
  </sheetData>
  <sheetProtection formatCells="0" formatColumns="0" formatRows="0" sort="0" autoFilter="0" pivotTables="0"/>
  <mergeCells count="1">
    <mergeCell ref="D4:F4"/>
  </mergeCells>
  <hyperlinks>
    <hyperlink ref="A1" location="'FY 14 Financial statements'!A1" display="Back"/>
  </hyperlinks>
  <pageMargins left="0.75" right="0.75" top="1" bottom="1" header="0.5" footer="0.5"/>
  <pageSetup paperSize="9" scale="83" orientation="portrait" horizontalDpi="300" verticalDpi="300"/>
  <headerFooter alignWithMargins="0">
    <oddHeader>&amp;LVodafone Group Plc</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workbookViewId="0">
      <selection activeCell="E21" sqref="E21"/>
    </sheetView>
  </sheetViews>
  <sheetFormatPr defaultRowHeight="12.75" x14ac:dyDescent="0.2"/>
  <cols>
    <col min="1" max="1" width="6" style="651" customWidth="1"/>
    <col min="2" max="2" width="75" style="651" customWidth="1"/>
    <col min="3" max="3" width="14.28515625" style="651" customWidth="1"/>
    <col min="4" max="4" width="1.7109375" style="651" customWidth="1"/>
    <col min="5" max="5" width="14.28515625" style="651" customWidth="1"/>
    <col min="6" max="6" width="9.140625" style="651" customWidth="1"/>
    <col min="7" max="256" width="11.42578125" style="651" customWidth="1"/>
    <col min="257" max="257" width="5.42578125" style="651" customWidth="1"/>
    <col min="258" max="258" width="61.28515625" style="651" customWidth="1"/>
    <col min="259" max="259" width="14.28515625" style="651" customWidth="1"/>
    <col min="260" max="260" width="1.7109375" style="651" customWidth="1"/>
    <col min="261" max="261" width="14.28515625" style="651" customWidth="1"/>
    <col min="262" max="262" width="9.140625" style="651" customWidth="1"/>
    <col min="263" max="512" width="11.42578125" style="651" customWidth="1"/>
    <col min="513" max="513" width="5.42578125" style="651" customWidth="1"/>
    <col min="514" max="514" width="61.28515625" style="651" customWidth="1"/>
    <col min="515" max="515" width="14.28515625" style="651" customWidth="1"/>
    <col min="516" max="516" width="1.7109375" style="651" customWidth="1"/>
    <col min="517" max="517" width="14.28515625" style="651" customWidth="1"/>
    <col min="518" max="518" width="9.140625" style="651" customWidth="1"/>
    <col min="519" max="768" width="11.42578125" style="651" customWidth="1"/>
    <col min="769" max="769" width="5.42578125" style="651" customWidth="1"/>
    <col min="770" max="770" width="61.28515625" style="651" customWidth="1"/>
    <col min="771" max="771" width="14.28515625" style="651" customWidth="1"/>
    <col min="772" max="772" width="1.7109375" style="651" customWidth="1"/>
    <col min="773" max="773" width="14.28515625" style="651" customWidth="1"/>
    <col min="774" max="774" width="9.140625" style="651" customWidth="1"/>
    <col min="775" max="1024" width="11.42578125" style="651" customWidth="1"/>
    <col min="1025" max="1025" width="5.42578125" style="651" customWidth="1"/>
    <col min="1026" max="1026" width="61.28515625" style="651" customWidth="1"/>
    <col min="1027" max="1027" width="14.28515625" style="651" customWidth="1"/>
    <col min="1028" max="1028" width="1.7109375" style="651" customWidth="1"/>
    <col min="1029" max="1029" width="14.28515625" style="651" customWidth="1"/>
    <col min="1030" max="1030" width="9.140625" style="651" customWidth="1"/>
    <col min="1031" max="1280" width="11.42578125" style="651" customWidth="1"/>
    <col min="1281" max="1281" width="5.42578125" style="651" customWidth="1"/>
    <col min="1282" max="1282" width="61.28515625" style="651" customWidth="1"/>
    <col min="1283" max="1283" width="14.28515625" style="651" customWidth="1"/>
    <col min="1284" max="1284" width="1.7109375" style="651" customWidth="1"/>
    <col min="1285" max="1285" width="14.28515625" style="651" customWidth="1"/>
    <col min="1286" max="1286" width="9.140625" style="651" customWidth="1"/>
    <col min="1287" max="1536" width="11.42578125" style="651" customWidth="1"/>
    <col min="1537" max="1537" width="5.42578125" style="651" customWidth="1"/>
    <col min="1538" max="1538" width="61.28515625" style="651" customWidth="1"/>
    <col min="1539" max="1539" width="14.28515625" style="651" customWidth="1"/>
    <col min="1540" max="1540" width="1.7109375" style="651" customWidth="1"/>
    <col min="1541" max="1541" width="14.28515625" style="651" customWidth="1"/>
    <col min="1542" max="1542" width="9.140625" style="651" customWidth="1"/>
    <col min="1543" max="1792" width="11.42578125" style="651" customWidth="1"/>
    <col min="1793" max="1793" width="5.42578125" style="651" customWidth="1"/>
    <col min="1794" max="1794" width="61.28515625" style="651" customWidth="1"/>
    <col min="1795" max="1795" width="14.28515625" style="651" customWidth="1"/>
    <col min="1796" max="1796" width="1.7109375" style="651" customWidth="1"/>
    <col min="1797" max="1797" width="14.28515625" style="651" customWidth="1"/>
    <col min="1798" max="1798" width="9.140625" style="651" customWidth="1"/>
    <col min="1799" max="2048" width="11.42578125" style="651" customWidth="1"/>
    <col min="2049" max="2049" width="5.42578125" style="651" customWidth="1"/>
    <col min="2050" max="2050" width="61.28515625" style="651" customWidth="1"/>
    <col min="2051" max="2051" width="14.28515625" style="651" customWidth="1"/>
    <col min="2052" max="2052" width="1.7109375" style="651" customWidth="1"/>
    <col min="2053" max="2053" width="14.28515625" style="651" customWidth="1"/>
    <col min="2054" max="2054" width="9.140625" style="651" customWidth="1"/>
    <col min="2055" max="2304" width="11.42578125" style="651" customWidth="1"/>
    <col min="2305" max="2305" width="5.42578125" style="651" customWidth="1"/>
    <col min="2306" max="2306" width="61.28515625" style="651" customWidth="1"/>
    <col min="2307" max="2307" width="14.28515625" style="651" customWidth="1"/>
    <col min="2308" max="2308" width="1.7109375" style="651" customWidth="1"/>
    <col min="2309" max="2309" width="14.28515625" style="651" customWidth="1"/>
    <col min="2310" max="2310" width="9.140625" style="651" customWidth="1"/>
    <col min="2311" max="2560" width="11.42578125" style="651" customWidth="1"/>
    <col min="2561" max="2561" width="5.42578125" style="651" customWidth="1"/>
    <col min="2562" max="2562" width="61.28515625" style="651" customWidth="1"/>
    <col min="2563" max="2563" width="14.28515625" style="651" customWidth="1"/>
    <col min="2564" max="2564" width="1.7109375" style="651" customWidth="1"/>
    <col min="2565" max="2565" width="14.28515625" style="651" customWidth="1"/>
    <col min="2566" max="2566" width="9.140625" style="651" customWidth="1"/>
    <col min="2567" max="2816" width="11.42578125" style="651" customWidth="1"/>
    <col min="2817" max="2817" width="5.42578125" style="651" customWidth="1"/>
    <col min="2818" max="2818" width="61.28515625" style="651" customWidth="1"/>
    <col min="2819" max="2819" width="14.28515625" style="651" customWidth="1"/>
    <col min="2820" max="2820" width="1.7109375" style="651" customWidth="1"/>
    <col min="2821" max="2821" width="14.28515625" style="651" customWidth="1"/>
    <col min="2822" max="2822" width="9.140625" style="651" customWidth="1"/>
    <col min="2823" max="3072" width="11.42578125" style="651" customWidth="1"/>
    <col min="3073" max="3073" width="5.42578125" style="651" customWidth="1"/>
    <col min="3074" max="3074" width="61.28515625" style="651" customWidth="1"/>
    <col min="3075" max="3075" width="14.28515625" style="651" customWidth="1"/>
    <col min="3076" max="3076" width="1.7109375" style="651" customWidth="1"/>
    <col min="3077" max="3077" width="14.28515625" style="651" customWidth="1"/>
    <col min="3078" max="3078" width="9.140625" style="651" customWidth="1"/>
    <col min="3079" max="3328" width="11.42578125" style="651" customWidth="1"/>
    <col min="3329" max="3329" width="5.42578125" style="651" customWidth="1"/>
    <col min="3330" max="3330" width="61.28515625" style="651" customWidth="1"/>
    <col min="3331" max="3331" width="14.28515625" style="651" customWidth="1"/>
    <col min="3332" max="3332" width="1.7109375" style="651" customWidth="1"/>
    <col min="3333" max="3333" width="14.28515625" style="651" customWidth="1"/>
    <col min="3334" max="3334" width="9.140625" style="651" customWidth="1"/>
    <col min="3335" max="3584" width="11.42578125" style="651" customWidth="1"/>
    <col min="3585" max="3585" width="5.42578125" style="651" customWidth="1"/>
    <col min="3586" max="3586" width="61.28515625" style="651" customWidth="1"/>
    <col min="3587" max="3587" width="14.28515625" style="651" customWidth="1"/>
    <col min="3588" max="3588" width="1.7109375" style="651" customWidth="1"/>
    <col min="3589" max="3589" width="14.28515625" style="651" customWidth="1"/>
    <col min="3590" max="3590" width="9.140625" style="651" customWidth="1"/>
    <col min="3591" max="3840" width="11.42578125" style="651" customWidth="1"/>
    <col min="3841" max="3841" width="5.42578125" style="651" customWidth="1"/>
    <col min="3842" max="3842" width="61.28515625" style="651" customWidth="1"/>
    <col min="3843" max="3843" width="14.28515625" style="651" customWidth="1"/>
    <col min="3844" max="3844" width="1.7109375" style="651" customWidth="1"/>
    <col min="3845" max="3845" width="14.28515625" style="651" customWidth="1"/>
    <col min="3846" max="3846" width="9.140625" style="651" customWidth="1"/>
    <col min="3847" max="4096" width="11.42578125" style="651" customWidth="1"/>
    <col min="4097" max="4097" width="5.42578125" style="651" customWidth="1"/>
    <col min="4098" max="4098" width="61.28515625" style="651" customWidth="1"/>
    <col min="4099" max="4099" width="14.28515625" style="651" customWidth="1"/>
    <col min="4100" max="4100" width="1.7109375" style="651" customWidth="1"/>
    <col min="4101" max="4101" width="14.28515625" style="651" customWidth="1"/>
    <col min="4102" max="4102" width="9.140625" style="651" customWidth="1"/>
    <col min="4103" max="4352" width="11.42578125" style="651" customWidth="1"/>
    <col min="4353" max="4353" width="5.42578125" style="651" customWidth="1"/>
    <col min="4354" max="4354" width="61.28515625" style="651" customWidth="1"/>
    <col min="4355" max="4355" width="14.28515625" style="651" customWidth="1"/>
    <col min="4356" max="4356" width="1.7109375" style="651" customWidth="1"/>
    <col min="4357" max="4357" width="14.28515625" style="651" customWidth="1"/>
    <col min="4358" max="4358" width="9.140625" style="651" customWidth="1"/>
    <col min="4359" max="4608" width="11.42578125" style="651" customWidth="1"/>
    <col min="4609" max="4609" width="5.42578125" style="651" customWidth="1"/>
    <col min="4610" max="4610" width="61.28515625" style="651" customWidth="1"/>
    <col min="4611" max="4611" width="14.28515625" style="651" customWidth="1"/>
    <col min="4612" max="4612" width="1.7109375" style="651" customWidth="1"/>
    <col min="4613" max="4613" width="14.28515625" style="651" customWidth="1"/>
    <col min="4614" max="4614" width="9.140625" style="651" customWidth="1"/>
    <col min="4615" max="4864" width="11.42578125" style="651" customWidth="1"/>
    <col min="4865" max="4865" width="5.42578125" style="651" customWidth="1"/>
    <col min="4866" max="4866" width="61.28515625" style="651" customWidth="1"/>
    <col min="4867" max="4867" width="14.28515625" style="651" customWidth="1"/>
    <col min="4868" max="4868" width="1.7109375" style="651" customWidth="1"/>
    <col min="4869" max="4869" width="14.28515625" style="651" customWidth="1"/>
    <col min="4870" max="4870" width="9.140625" style="651" customWidth="1"/>
    <col min="4871" max="5120" width="11.42578125" style="651" customWidth="1"/>
    <col min="5121" max="5121" width="5.42578125" style="651" customWidth="1"/>
    <col min="5122" max="5122" width="61.28515625" style="651" customWidth="1"/>
    <col min="5123" max="5123" width="14.28515625" style="651" customWidth="1"/>
    <col min="5124" max="5124" width="1.7109375" style="651" customWidth="1"/>
    <col min="5125" max="5125" width="14.28515625" style="651" customWidth="1"/>
    <col min="5126" max="5126" width="9.140625" style="651" customWidth="1"/>
    <col min="5127" max="5376" width="11.42578125" style="651" customWidth="1"/>
    <col min="5377" max="5377" width="5.42578125" style="651" customWidth="1"/>
    <col min="5378" max="5378" width="61.28515625" style="651" customWidth="1"/>
    <col min="5379" max="5379" width="14.28515625" style="651" customWidth="1"/>
    <col min="5380" max="5380" width="1.7109375" style="651" customWidth="1"/>
    <col min="5381" max="5381" width="14.28515625" style="651" customWidth="1"/>
    <col min="5382" max="5382" width="9.140625" style="651" customWidth="1"/>
    <col min="5383" max="5632" width="11.42578125" style="651" customWidth="1"/>
    <col min="5633" max="5633" width="5.42578125" style="651" customWidth="1"/>
    <col min="5634" max="5634" width="61.28515625" style="651" customWidth="1"/>
    <col min="5635" max="5635" width="14.28515625" style="651" customWidth="1"/>
    <col min="5636" max="5636" width="1.7109375" style="651" customWidth="1"/>
    <col min="5637" max="5637" width="14.28515625" style="651" customWidth="1"/>
    <col min="5638" max="5638" width="9.140625" style="651" customWidth="1"/>
    <col min="5639" max="5888" width="11.42578125" style="651" customWidth="1"/>
    <col min="5889" max="5889" width="5.42578125" style="651" customWidth="1"/>
    <col min="5890" max="5890" width="61.28515625" style="651" customWidth="1"/>
    <col min="5891" max="5891" width="14.28515625" style="651" customWidth="1"/>
    <col min="5892" max="5892" width="1.7109375" style="651" customWidth="1"/>
    <col min="5893" max="5893" width="14.28515625" style="651" customWidth="1"/>
    <col min="5894" max="5894" width="9.140625" style="651" customWidth="1"/>
    <col min="5895" max="6144" width="11.42578125" style="651" customWidth="1"/>
    <col min="6145" max="6145" width="5.42578125" style="651" customWidth="1"/>
    <col min="6146" max="6146" width="61.28515625" style="651" customWidth="1"/>
    <col min="6147" max="6147" width="14.28515625" style="651" customWidth="1"/>
    <col min="6148" max="6148" width="1.7109375" style="651" customWidth="1"/>
    <col min="6149" max="6149" width="14.28515625" style="651" customWidth="1"/>
    <col min="6150" max="6150" width="9.140625" style="651" customWidth="1"/>
    <col min="6151" max="6400" width="11.42578125" style="651" customWidth="1"/>
    <col min="6401" max="6401" width="5.42578125" style="651" customWidth="1"/>
    <col min="6402" max="6402" width="61.28515625" style="651" customWidth="1"/>
    <col min="6403" max="6403" width="14.28515625" style="651" customWidth="1"/>
    <col min="6404" max="6404" width="1.7109375" style="651" customWidth="1"/>
    <col min="6405" max="6405" width="14.28515625" style="651" customWidth="1"/>
    <col min="6406" max="6406" width="9.140625" style="651" customWidth="1"/>
    <col min="6407" max="6656" width="11.42578125" style="651" customWidth="1"/>
    <col min="6657" max="6657" width="5.42578125" style="651" customWidth="1"/>
    <col min="6658" max="6658" width="61.28515625" style="651" customWidth="1"/>
    <col min="6659" max="6659" width="14.28515625" style="651" customWidth="1"/>
    <col min="6660" max="6660" width="1.7109375" style="651" customWidth="1"/>
    <col min="6661" max="6661" width="14.28515625" style="651" customWidth="1"/>
    <col min="6662" max="6662" width="9.140625" style="651" customWidth="1"/>
    <col min="6663" max="6912" width="11.42578125" style="651" customWidth="1"/>
    <col min="6913" max="6913" width="5.42578125" style="651" customWidth="1"/>
    <col min="6914" max="6914" width="61.28515625" style="651" customWidth="1"/>
    <col min="6915" max="6915" width="14.28515625" style="651" customWidth="1"/>
    <col min="6916" max="6916" width="1.7109375" style="651" customWidth="1"/>
    <col min="6917" max="6917" width="14.28515625" style="651" customWidth="1"/>
    <col min="6918" max="6918" width="9.140625" style="651" customWidth="1"/>
    <col min="6919" max="7168" width="11.42578125" style="651" customWidth="1"/>
    <col min="7169" max="7169" width="5.42578125" style="651" customWidth="1"/>
    <col min="7170" max="7170" width="61.28515625" style="651" customWidth="1"/>
    <col min="7171" max="7171" width="14.28515625" style="651" customWidth="1"/>
    <col min="7172" max="7172" width="1.7109375" style="651" customWidth="1"/>
    <col min="7173" max="7173" width="14.28515625" style="651" customWidth="1"/>
    <col min="7174" max="7174" width="9.140625" style="651" customWidth="1"/>
    <col min="7175" max="7424" width="11.42578125" style="651" customWidth="1"/>
    <col min="7425" max="7425" width="5.42578125" style="651" customWidth="1"/>
    <col min="7426" max="7426" width="61.28515625" style="651" customWidth="1"/>
    <col min="7427" max="7427" width="14.28515625" style="651" customWidth="1"/>
    <col min="7428" max="7428" width="1.7109375" style="651" customWidth="1"/>
    <col min="7429" max="7429" width="14.28515625" style="651" customWidth="1"/>
    <col min="7430" max="7430" width="9.140625" style="651" customWidth="1"/>
    <col min="7431" max="7680" width="11.42578125" style="651" customWidth="1"/>
    <col min="7681" max="7681" width="5.42578125" style="651" customWidth="1"/>
    <col min="7682" max="7682" width="61.28515625" style="651" customWidth="1"/>
    <col min="7683" max="7683" width="14.28515625" style="651" customWidth="1"/>
    <col min="7684" max="7684" width="1.7109375" style="651" customWidth="1"/>
    <col min="7685" max="7685" width="14.28515625" style="651" customWidth="1"/>
    <col min="7686" max="7686" width="9.140625" style="651" customWidth="1"/>
    <col min="7687" max="7936" width="11.42578125" style="651" customWidth="1"/>
    <col min="7937" max="7937" width="5.42578125" style="651" customWidth="1"/>
    <col min="7938" max="7938" width="61.28515625" style="651" customWidth="1"/>
    <col min="7939" max="7939" width="14.28515625" style="651" customWidth="1"/>
    <col min="7940" max="7940" width="1.7109375" style="651" customWidth="1"/>
    <col min="7941" max="7941" width="14.28515625" style="651" customWidth="1"/>
    <col min="7942" max="7942" width="9.140625" style="651" customWidth="1"/>
    <col min="7943" max="8192" width="11.42578125" style="651" customWidth="1"/>
    <col min="8193" max="8193" width="5.42578125" style="651" customWidth="1"/>
    <col min="8194" max="8194" width="61.28515625" style="651" customWidth="1"/>
    <col min="8195" max="8195" width="14.28515625" style="651" customWidth="1"/>
    <col min="8196" max="8196" width="1.7109375" style="651" customWidth="1"/>
    <col min="8197" max="8197" width="14.28515625" style="651" customWidth="1"/>
    <col min="8198" max="8198" width="9.140625" style="651" customWidth="1"/>
    <col min="8199" max="8448" width="11.42578125" style="651" customWidth="1"/>
    <col min="8449" max="8449" width="5.42578125" style="651" customWidth="1"/>
    <col min="8450" max="8450" width="61.28515625" style="651" customWidth="1"/>
    <col min="8451" max="8451" width="14.28515625" style="651" customWidth="1"/>
    <col min="8452" max="8452" width="1.7109375" style="651" customWidth="1"/>
    <col min="8453" max="8453" width="14.28515625" style="651" customWidth="1"/>
    <col min="8454" max="8454" width="9.140625" style="651" customWidth="1"/>
    <col min="8455" max="8704" width="11.42578125" style="651" customWidth="1"/>
    <col min="8705" max="8705" width="5.42578125" style="651" customWidth="1"/>
    <col min="8706" max="8706" width="61.28515625" style="651" customWidth="1"/>
    <col min="8707" max="8707" width="14.28515625" style="651" customWidth="1"/>
    <col min="8708" max="8708" width="1.7109375" style="651" customWidth="1"/>
    <col min="8709" max="8709" width="14.28515625" style="651" customWidth="1"/>
    <col min="8710" max="8710" width="9.140625" style="651" customWidth="1"/>
    <col min="8711" max="8960" width="11.42578125" style="651" customWidth="1"/>
    <col min="8961" max="8961" width="5.42578125" style="651" customWidth="1"/>
    <col min="8962" max="8962" width="61.28515625" style="651" customWidth="1"/>
    <col min="8963" max="8963" width="14.28515625" style="651" customWidth="1"/>
    <col min="8964" max="8964" width="1.7109375" style="651" customWidth="1"/>
    <col min="8965" max="8965" width="14.28515625" style="651" customWidth="1"/>
    <col min="8966" max="8966" width="9.140625" style="651" customWidth="1"/>
    <col min="8967" max="9216" width="11.42578125" style="651" customWidth="1"/>
    <col min="9217" max="9217" width="5.42578125" style="651" customWidth="1"/>
    <col min="9218" max="9218" width="61.28515625" style="651" customWidth="1"/>
    <col min="9219" max="9219" width="14.28515625" style="651" customWidth="1"/>
    <col min="9220" max="9220" width="1.7109375" style="651" customWidth="1"/>
    <col min="9221" max="9221" width="14.28515625" style="651" customWidth="1"/>
    <col min="9222" max="9222" width="9.140625" style="651" customWidth="1"/>
    <col min="9223" max="9472" width="11.42578125" style="651" customWidth="1"/>
    <col min="9473" max="9473" width="5.42578125" style="651" customWidth="1"/>
    <col min="9474" max="9474" width="61.28515625" style="651" customWidth="1"/>
    <col min="9475" max="9475" width="14.28515625" style="651" customWidth="1"/>
    <col min="9476" max="9476" width="1.7109375" style="651" customWidth="1"/>
    <col min="9477" max="9477" width="14.28515625" style="651" customWidth="1"/>
    <col min="9478" max="9478" width="9.140625" style="651" customWidth="1"/>
    <col min="9479" max="9728" width="11.42578125" style="651" customWidth="1"/>
    <col min="9729" max="9729" width="5.42578125" style="651" customWidth="1"/>
    <col min="9730" max="9730" width="61.28515625" style="651" customWidth="1"/>
    <col min="9731" max="9731" width="14.28515625" style="651" customWidth="1"/>
    <col min="9732" max="9732" width="1.7109375" style="651" customWidth="1"/>
    <col min="9733" max="9733" width="14.28515625" style="651" customWidth="1"/>
    <col min="9734" max="9734" width="9.140625" style="651" customWidth="1"/>
    <col min="9735" max="9984" width="11.42578125" style="651" customWidth="1"/>
    <col min="9985" max="9985" width="5.42578125" style="651" customWidth="1"/>
    <col min="9986" max="9986" width="61.28515625" style="651" customWidth="1"/>
    <col min="9987" max="9987" width="14.28515625" style="651" customWidth="1"/>
    <col min="9988" max="9988" width="1.7109375" style="651" customWidth="1"/>
    <col min="9989" max="9989" width="14.28515625" style="651" customWidth="1"/>
    <col min="9990" max="9990" width="9.140625" style="651" customWidth="1"/>
    <col min="9991" max="10240" width="11.42578125" style="651" customWidth="1"/>
    <col min="10241" max="10241" width="5.42578125" style="651" customWidth="1"/>
    <col min="10242" max="10242" width="61.28515625" style="651" customWidth="1"/>
    <col min="10243" max="10243" width="14.28515625" style="651" customWidth="1"/>
    <col min="10244" max="10244" width="1.7109375" style="651" customWidth="1"/>
    <col min="10245" max="10245" width="14.28515625" style="651" customWidth="1"/>
    <col min="10246" max="10246" width="9.140625" style="651" customWidth="1"/>
    <col min="10247" max="10496" width="11.42578125" style="651" customWidth="1"/>
    <col min="10497" max="10497" width="5.42578125" style="651" customWidth="1"/>
    <col min="10498" max="10498" width="61.28515625" style="651" customWidth="1"/>
    <col min="10499" max="10499" width="14.28515625" style="651" customWidth="1"/>
    <col min="10500" max="10500" width="1.7109375" style="651" customWidth="1"/>
    <col min="10501" max="10501" width="14.28515625" style="651" customWidth="1"/>
    <col min="10502" max="10502" width="9.140625" style="651" customWidth="1"/>
    <col min="10503" max="10752" width="11.42578125" style="651" customWidth="1"/>
    <col min="10753" max="10753" width="5.42578125" style="651" customWidth="1"/>
    <col min="10754" max="10754" width="61.28515625" style="651" customWidth="1"/>
    <col min="10755" max="10755" width="14.28515625" style="651" customWidth="1"/>
    <col min="10756" max="10756" width="1.7109375" style="651" customWidth="1"/>
    <col min="10757" max="10757" width="14.28515625" style="651" customWidth="1"/>
    <col min="10758" max="10758" width="9.140625" style="651" customWidth="1"/>
    <col min="10759" max="11008" width="11.42578125" style="651" customWidth="1"/>
    <col min="11009" max="11009" width="5.42578125" style="651" customWidth="1"/>
    <col min="11010" max="11010" width="61.28515625" style="651" customWidth="1"/>
    <col min="11011" max="11011" width="14.28515625" style="651" customWidth="1"/>
    <col min="11012" max="11012" width="1.7109375" style="651" customWidth="1"/>
    <col min="11013" max="11013" width="14.28515625" style="651" customWidth="1"/>
    <col min="11014" max="11014" width="9.140625" style="651" customWidth="1"/>
    <col min="11015" max="11264" width="11.42578125" style="651" customWidth="1"/>
    <col min="11265" max="11265" width="5.42578125" style="651" customWidth="1"/>
    <col min="11266" max="11266" width="61.28515625" style="651" customWidth="1"/>
    <col min="11267" max="11267" width="14.28515625" style="651" customWidth="1"/>
    <col min="11268" max="11268" width="1.7109375" style="651" customWidth="1"/>
    <col min="11269" max="11269" width="14.28515625" style="651" customWidth="1"/>
    <col min="11270" max="11270" width="9.140625" style="651" customWidth="1"/>
    <col min="11271" max="11520" width="11.42578125" style="651" customWidth="1"/>
    <col min="11521" max="11521" width="5.42578125" style="651" customWidth="1"/>
    <col min="11522" max="11522" width="61.28515625" style="651" customWidth="1"/>
    <col min="11523" max="11523" width="14.28515625" style="651" customWidth="1"/>
    <col min="11524" max="11524" width="1.7109375" style="651" customWidth="1"/>
    <col min="11525" max="11525" width="14.28515625" style="651" customWidth="1"/>
    <col min="11526" max="11526" width="9.140625" style="651" customWidth="1"/>
    <col min="11527" max="11776" width="11.42578125" style="651" customWidth="1"/>
    <col min="11777" max="11777" width="5.42578125" style="651" customWidth="1"/>
    <col min="11778" max="11778" width="61.28515625" style="651" customWidth="1"/>
    <col min="11779" max="11779" width="14.28515625" style="651" customWidth="1"/>
    <col min="11780" max="11780" width="1.7109375" style="651" customWidth="1"/>
    <col min="11781" max="11781" width="14.28515625" style="651" customWidth="1"/>
    <col min="11782" max="11782" width="9.140625" style="651" customWidth="1"/>
    <col min="11783" max="12032" width="11.42578125" style="651" customWidth="1"/>
    <col min="12033" max="12033" width="5.42578125" style="651" customWidth="1"/>
    <col min="12034" max="12034" width="61.28515625" style="651" customWidth="1"/>
    <col min="12035" max="12035" width="14.28515625" style="651" customWidth="1"/>
    <col min="12036" max="12036" width="1.7109375" style="651" customWidth="1"/>
    <col min="12037" max="12037" width="14.28515625" style="651" customWidth="1"/>
    <col min="12038" max="12038" width="9.140625" style="651" customWidth="1"/>
    <col min="12039" max="12288" width="11.42578125" style="651" customWidth="1"/>
    <col min="12289" max="12289" width="5.42578125" style="651" customWidth="1"/>
    <col min="12290" max="12290" width="61.28515625" style="651" customWidth="1"/>
    <col min="12291" max="12291" width="14.28515625" style="651" customWidth="1"/>
    <col min="12292" max="12292" width="1.7109375" style="651" customWidth="1"/>
    <col min="12293" max="12293" width="14.28515625" style="651" customWidth="1"/>
    <col min="12294" max="12294" width="9.140625" style="651" customWidth="1"/>
    <col min="12295" max="12544" width="11.42578125" style="651" customWidth="1"/>
    <col min="12545" max="12545" width="5.42578125" style="651" customWidth="1"/>
    <col min="12546" max="12546" width="61.28515625" style="651" customWidth="1"/>
    <col min="12547" max="12547" width="14.28515625" style="651" customWidth="1"/>
    <col min="12548" max="12548" width="1.7109375" style="651" customWidth="1"/>
    <col min="12549" max="12549" width="14.28515625" style="651" customWidth="1"/>
    <col min="12550" max="12550" width="9.140625" style="651" customWidth="1"/>
    <col min="12551" max="12800" width="11.42578125" style="651" customWidth="1"/>
    <col min="12801" max="12801" width="5.42578125" style="651" customWidth="1"/>
    <col min="12802" max="12802" width="61.28515625" style="651" customWidth="1"/>
    <col min="12803" max="12803" width="14.28515625" style="651" customWidth="1"/>
    <col min="12804" max="12804" width="1.7109375" style="651" customWidth="1"/>
    <col min="12805" max="12805" width="14.28515625" style="651" customWidth="1"/>
    <col min="12806" max="12806" width="9.140625" style="651" customWidth="1"/>
    <col min="12807" max="13056" width="11.42578125" style="651" customWidth="1"/>
    <col min="13057" max="13057" width="5.42578125" style="651" customWidth="1"/>
    <col min="13058" max="13058" width="61.28515625" style="651" customWidth="1"/>
    <col min="13059" max="13059" width="14.28515625" style="651" customWidth="1"/>
    <col min="13060" max="13060" width="1.7109375" style="651" customWidth="1"/>
    <col min="13061" max="13061" width="14.28515625" style="651" customWidth="1"/>
    <col min="13062" max="13062" width="9.140625" style="651" customWidth="1"/>
    <col min="13063" max="13312" width="11.42578125" style="651" customWidth="1"/>
    <col min="13313" max="13313" width="5.42578125" style="651" customWidth="1"/>
    <col min="13314" max="13314" width="61.28515625" style="651" customWidth="1"/>
    <col min="13315" max="13315" width="14.28515625" style="651" customWidth="1"/>
    <col min="13316" max="13316" width="1.7109375" style="651" customWidth="1"/>
    <col min="13317" max="13317" width="14.28515625" style="651" customWidth="1"/>
    <col min="13318" max="13318" width="9.140625" style="651" customWidth="1"/>
    <col min="13319" max="13568" width="11.42578125" style="651" customWidth="1"/>
    <col min="13569" max="13569" width="5.42578125" style="651" customWidth="1"/>
    <col min="13570" max="13570" width="61.28515625" style="651" customWidth="1"/>
    <col min="13571" max="13571" width="14.28515625" style="651" customWidth="1"/>
    <col min="13572" max="13572" width="1.7109375" style="651" customWidth="1"/>
    <col min="13573" max="13573" width="14.28515625" style="651" customWidth="1"/>
    <col min="13574" max="13574" width="9.140625" style="651" customWidth="1"/>
    <col min="13575" max="13824" width="11.42578125" style="651" customWidth="1"/>
    <col min="13825" max="13825" width="5.42578125" style="651" customWidth="1"/>
    <col min="13826" max="13826" width="61.28515625" style="651" customWidth="1"/>
    <col min="13827" max="13827" width="14.28515625" style="651" customWidth="1"/>
    <col min="13828" max="13828" width="1.7109375" style="651" customWidth="1"/>
    <col min="13829" max="13829" width="14.28515625" style="651" customWidth="1"/>
    <col min="13830" max="13830" width="9.140625" style="651" customWidth="1"/>
    <col min="13831" max="14080" width="11.42578125" style="651" customWidth="1"/>
    <col min="14081" max="14081" width="5.42578125" style="651" customWidth="1"/>
    <col min="14082" max="14082" width="61.28515625" style="651" customWidth="1"/>
    <col min="14083" max="14083" width="14.28515625" style="651" customWidth="1"/>
    <col min="14084" max="14084" width="1.7109375" style="651" customWidth="1"/>
    <col min="14085" max="14085" width="14.28515625" style="651" customWidth="1"/>
    <col min="14086" max="14086" width="9.140625" style="651" customWidth="1"/>
    <col min="14087" max="14336" width="11.42578125" style="651" customWidth="1"/>
    <col min="14337" max="14337" width="5.42578125" style="651" customWidth="1"/>
    <col min="14338" max="14338" width="61.28515625" style="651" customWidth="1"/>
    <col min="14339" max="14339" width="14.28515625" style="651" customWidth="1"/>
    <col min="14340" max="14340" width="1.7109375" style="651" customWidth="1"/>
    <col min="14341" max="14341" width="14.28515625" style="651" customWidth="1"/>
    <col min="14342" max="14342" width="9.140625" style="651" customWidth="1"/>
    <col min="14343" max="14592" width="11.42578125" style="651" customWidth="1"/>
    <col min="14593" max="14593" width="5.42578125" style="651" customWidth="1"/>
    <col min="14594" max="14594" width="61.28515625" style="651" customWidth="1"/>
    <col min="14595" max="14595" width="14.28515625" style="651" customWidth="1"/>
    <col min="14596" max="14596" width="1.7109375" style="651" customWidth="1"/>
    <col min="14597" max="14597" width="14.28515625" style="651" customWidth="1"/>
    <col min="14598" max="14598" width="9.140625" style="651" customWidth="1"/>
    <col min="14599" max="14848" width="11.42578125" style="651" customWidth="1"/>
    <col min="14849" max="14849" width="5.42578125" style="651" customWidth="1"/>
    <col min="14850" max="14850" width="61.28515625" style="651" customWidth="1"/>
    <col min="14851" max="14851" width="14.28515625" style="651" customWidth="1"/>
    <col min="14852" max="14852" width="1.7109375" style="651" customWidth="1"/>
    <col min="14853" max="14853" width="14.28515625" style="651" customWidth="1"/>
    <col min="14854" max="14854" width="9.140625" style="651" customWidth="1"/>
    <col min="14855" max="15104" width="11.42578125" style="651" customWidth="1"/>
    <col min="15105" max="15105" width="5.42578125" style="651" customWidth="1"/>
    <col min="15106" max="15106" width="61.28515625" style="651" customWidth="1"/>
    <col min="15107" max="15107" width="14.28515625" style="651" customWidth="1"/>
    <col min="15108" max="15108" width="1.7109375" style="651" customWidth="1"/>
    <col min="15109" max="15109" width="14.28515625" style="651" customWidth="1"/>
    <col min="15110" max="15110" width="9.140625" style="651" customWidth="1"/>
    <col min="15111" max="15360" width="11.42578125" style="651" customWidth="1"/>
    <col min="15361" max="15361" width="5.42578125" style="651" customWidth="1"/>
    <col min="15362" max="15362" width="61.28515625" style="651" customWidth="1"/>
    <col min="15363" max="15363" width="14.28515625" style="651" customWidth="1"/>
    <col min="15364" max="15364" width="1.7109375" style="651" customWidth="1"/>
    <col min="15365" max="15365" width="14.28515625" style="651" customWidth="1"/>
    <col min="15366" max="15366" width="9.140625" style="651" customWidth="1"/>
    <col min="15367" max="15616" width="11.42578125" style="651" customWidth="1"/>
    <col min="15617" max="15617" width="5.42578125" style="651" customWidth="1"/>
    <col min="15618" max="15618" width="61.28515625" style="651" customWidth="1"/>
    <col min="15619" max="15619" width="14.28515625" style="651" customWidth="1"/>
    <col min="15620" max="15620" width="1.7109375" style="651" customWidth="1"/>
    <col min="15621" max="15621" width="14.28515625" style="651" customWidth="1"/>
    <col min="15622" max="15622" width="9.140625" style="651" customWidth="1"/>
    <col min="15623" max="15872" width="11.42578125" style="651" customWidth="1"/>
    <col min="15873" max="15873" width="5.42578125" style="651" customWidth="1"/>
    <col min="15874" max="15874" width="61.28515625" style="651" customWidth="1"/>
    <col min="15875" max="15875" width="14.28515625" style="651" customWidth="1"/>
    <col min="15876" max="15876" width="1.7109375" style="651" customWidth="1"/>
    <col min="15877" max="15877" width="14.28515625" style="651" customWidth="1"/>
    <col min="15878" max="15878" width="9.140625" style="651" customWidth="1"/>
    <col min="15879" max="16128" width="11.42578125" style="651" customWidth="1"/>
    <col min="16129" max="16129" width="5.42578125" style="651" customWidth="1"/>
    <col min="16130" max="16130" width="61.28515625" style="651" customWidth="1"/>
    <col min="16131" max="16131" width="14.28515625" style="651" customWidth="1"/>
    <col min="16132" max="16132" width="1.7109375" style="651" customWidth="1"/>
    <col min="16133" max="16133" width="14.28515625" style="651" customWidth="1"/>
    <col min="16134" max="16134" width="9.140625" style="651" customWidth="1"/>
    <col min="16135" max="16384" width="11.42578125" style="651" customWidth="1"/>
  </cols>
  <sheetData>
    <row r="1" spans="1:5" x14ac:dyDescent="0.2">
      <c r="A1" s="685"/>
      <c r="B1" s="687" t="s">
        <v>412</v>
      </c>
      <c r="C1" s="644"/>
      <c r="D1" s="491"/>
      <c r="E1" s="643"/>
    </row>
    <row r="2" spans="1:5" x14ac:dyDescent="0.2">
      <c r="B2" s="686" t="s">
        <v>411</v>
      </c>
      <c r="C2" s="643"/>
      <c r="D2" s="491"/>
      <c r="E2" s="643"/>
    </row>
    <row r="3" spans="1:5" x14ac:dyDescent="0.2">
      <c r="B3" s="645"/>
      <c r="C3" s="476"/>
      <c r="D3" s="490"/>
      <c r="E3" s="476"/>
    </row>
    <row r="4" spans="1:5" x14ac:dyDescent="0.2">
      <c r="B4" s="476"/>
      <c r="C4" s="875" t="s">
        <v>404</v>
      </c>
      <c r="D4" s="875"/>
      <c r="E4" s="875"/>
    </row>
    <row r="5" spans="1:5" x14ac:dyDescent="0.2">
      <c r="B5" s="648"/>
      <c r="C5" s="652">
        <v>2014</v>
      </c>
      <c r="D5" s="653"/>
      <c r="E5" s="652">
        <v>2013</v>
      </c>
    </row>
    <row r="6" spans="1:5" x14ac:dyDescent="0.2">
      <c r="B6" s="650"/>
      <c r="C6" s="650" t="s">
        <v>67</v>
      </c>
      <c r="D6" s="654"/>
      <c r="E6" s="650" t="s">
        <v>67</v>
      </c>
    </row>
    <row r="7" spans="1:5" ht="4.5" customHeight="1" x14ac:dyDescent="0.2">
      <c r="B7" s="649"/>
      <c r="C7" s="655"/>
      <c r="D7" s="647"/>
      <c r="E7" s="648"/>
    </row>
    <row r="8" spans="1:5" ht="14.25" customHeight="1" x14ac:dyDescent="0.2">
      <c r="B8" s="656" t="s">
        <v>488</v>
      </c>
      <c r="C8" s="657"/>
      <c r="D8" s="646"/>
      <c r="E8" s="658"/>
    </row>
    <row r="9" spans="1:5" ht="14.25" customHeight="1" x14ac:dyDescent="0.2">
      <c r="B9" s="656" t="s">
        <v>490</v>
      </c>
      <c r="C9" s="657">
        <v>3365</v>
      </c>
      <c r="D9" s="646"/>
      <c r="E9" s="658">
        <v>3193</v>
      </c>
    </row>
    <row r="10" spans="1:5" ht="14.25" customHeight="1" x14ac:dyDescent="0.2">
      <c r="B10" s="656" t="s">
        <v>489</v>
      </c>
      <c r="C10" s="657">
        <v>1711</v>
      </c>
      <c r="D10" s="646"/>
      <c r="E10" s="658">
        <v>1608</v>
      </c>
    </row>
    <row r="11" spans="1:5" ht="14.25" customHeight="1" x14ac:dyDescent="0.2">
      <c r="B11" s="656" t="s">
        <v>491</v>
      </c>
      <c r="C11" s="657">
        <v>35490</v>
      </c>
      <c r="D11" s="646"/>
      <c r="E11" s="605">
        <v>0</v>
      </c>
    </row>
    <row r="12" spans="1:5" ht="14.25" customHeight="1" thickBot="1" x14ac:dyDescent="0.25">
      <c r="B12" s="808"/>
      <c r="C12" s="809">
        <f>SUM(C9:C11)</f>
        <v>40566</v>
      </c>
      <c r="D12" s="810"/>
      <c r="E12" s="811">
        <v>4801</v>
      </c>
    </row>
    <row r="13" spans="1:5" ht="12.75" customHeight="1" x14ac:dyDescent="0.2">
      <c r="B13" s="662"/>
      <c r="C13" s="663"/>
      <c r="D13" s="664"/>
      <c r="E13" s="664"/>
    </row>
    <row r="14" spans="1:5" ht="14.25" customHeight="1" x14ac:dyDescent="0.2">
      <c r="B14" s="665" t="s">
        <v>401</v>
      </c>
      <c r="C14" s="663"/>
      <c r="D14" s="664"/>
      <c r="E14" s="664"/>
    </row>
    <row r="15" spans="1:5" ht="14.25" customHeight="1" thickBot="1" x14ac:dyDescent="0.25">
      <c r="B15" s="659" t="s">
        <v>492</v>
      </c>
      <c r="C15" s="660">
        <v>1975</v>
      </c>
      <c r="D15" s="661"/>
      <c r="E15" s="661">
        <v>3377</v>
      </c>
    </row>
    <row r="16" spans="1:5" x14ac:dyDescent="0.2">
      <c r="B16" s="476"/>
      <c r="C16" s="476"/>
      <c r="D16" s="490"/>
      <c r="E16" s="476"/>
    </row>
  </sheetData>
  <sheetProtection formatCells="0" formatColumns="0" formatRows="0" sort="0" autoFilter="0" pivotTables="0"/>
  <mergeCells count="1">
    <mergeCell ref="C4:E4"/>
  </mergeCells>
  <pageMargins left="0.75" right="0.75" top="1" bottom="1" header="0.5" footer="0.5"/>
  <pageSetup paperSize="9" scale="90" orientation="portrait"/>
  <headerFooter alignWithMargins="0">
    <oddHeader>&amp;L&amp;"Vodafone Rg,Regular"Vodafone Group Plc</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490"/>
  <sheetViews>
    <sheetView showGridLines="0" zoomScale="85" zoomScaleNormal="85" zoomScaleSheetLayoutView="75" workbookViewId="0">
      <pane xSplit="4" ySplit="3" topLeftCell="E251" activePane="bottomRight" state="frozen"/>
      <selection activeCell="C46" sqref="C46:AB47"/>
      <selection pane="topRight" activeCell="C46" sqref="C46:AB47"/>
      <selection pane="bottomLeft" activeCell="C46" sqref="C46:AB47"/>
      <selection pane="bottomRight" activeCell="N263" sqref="N263"/>
    </sheetView>
  </sheetViews>
  <sheetFormatPr defaultRowHeight="12.75" x14ac:dyDescent="0.2"/>
  <cols>
    <col min="1" max="1" width="5.42578125" style="395" customWidth="1"/>
    <col min="2" max="2" width="3.140625" style="366" customWidth="1"/>
    <col min="3" max="3" width="40.42578125" style="65" customWidth="1"/>
    <col min="4" max="4" width="3.7109375" style="65" customWidth="1"/>
    <col min="5" max="8" width="10.5703125" style="364" customWidth="1"/>
    <col min="9" max="9" width="3.7109375" style="71" customWidth="1"/>
    <col min="10" max="11" width="9.28515625" style="365" customWidth="1"/>
    <col min="12" max="12" width="9.140625" style="65" customWidth="1"/>
    <col min="13" max="153" width="9.140625" style="395" customWidth="1"/>
    <col min="154" max="250" width="11.42578125" style="395" customWidth="1"/>
    <col min="251" max="16384" width="9.140625" style="395"/>
  </cols>
  <sheetData>
    <row r="1" spans="1:15" ht="13.5" customHeight="1" x14ac:dyDescent="0.2">
      <c r="A1" s="688" t="s">
        <v>414</v>
      </c>
      <c r="B1" s="68"/>
      <c r="C1" s="366"/>
      <c r="D1" s="366"/>
      <c r="E1" s="424"/>
      <c r="F1" s="424"/>
      <c r="G1" s="70"/>
      <c r="H1" s="70"/>
      <c r="I1" s="424"/>
      <c r="J1" s="828" t="s">
        <v>263</v>
      </c>
      <c r="K1" s="828"/>
    </row>
    <row r="2" spans="1:15" ht="12.75" customHeight="1" x14ac:dyDescent="0.2">
      <c r="C2" s="366"/>
      <c r="D2" s="366"/>
      <c r="E2" s="426" t="s">
        <v>49</v>
      </c>
      <c r="F2" s="426" t="s">
        <v>299</v>
      </c>
      <c r="G2" s="426" t="s">
        <v>50</v>
      </c>
      <c r="H2" s="717" t="s">
        <v>403</v>
      </c>
      <c r="I2" s="425"/>
      <c r="J2" s="74" t="s">
        <v>50</v>
      </c>
      <c r="K2" s="717" t="s">
        <v>403</v>
      </c>
    </row>
    <row r="3" spans="1:15" s="366" customFormat="1" ht="12.75" customHeight="1" x14ac:dyDescent="0.2">
      <c r="E3" s="430" t="s">
        <v>14</v>
      </c>
      <c r="F3" s="430" t="s">
        <v>14</v>
      </c>
      <c r="G3" s="430" t="s">
        <v>14</v>
      </c>
      <c r="H3" s="718" t="s">
        <v>14</v>
      </c>
      <c r="I3" s="74"/>
      <c r="J3" s="418"/>
      <c r="K3" s="728"/>
      <c r="L3" s="471"/>
    </row>
    <row r="4" spans="1:15" s="366" customFormat="1" ht="14.25" customHeight="1" x14ac:dyDescent="0.2">
      <c r="B4" s="834" t="s">
        <v>301</v>
      </c>
      <c r="C4" s="821"/>
      <c r="D4" s="75"/>
      <c r="E4" s="431"/>
      <c r="F4" s="431"/>
      <c r="G4" s="431"/>
      <c r="H4" s="719"/>
      <c r="I4" s="85"/>
      <c r="J4" s="419"/>
      <c r="K4" s="729"/>
      <c r="L4" s="471"/>
    </row>
    <row r="5" spans="1:15" ht="12.75" customHeight="1" x14ac:dyDescent="0.25">
      <c r="C5" s="465" t="s">
        <v>19</v>
      </c>
      <c r="D5" s="75"/>
      <c r="E5" s="432"/>
      <c r="F5" s="432"/>
      <c r="G5" s="432"/>
      <c r="H5" s="719"/>
      <c r="I5" s="85"/>
      <c r="J5" s="420"/>
      <c r="K5" s="730"/>
    </row>
    <row r="6" spans="1:15" ht="12.75" customHeight="1" x14ac:dyDescent="0.2">
      <c r="C6" s="78" t="s">
        <v>20</v>
      </c>
      <c r="D6" s="75"/>
      <c r="E6" s="433">
        <v>6382</v>
      </c>
      <c r="F6" s="433">
        <v>6705</v>
      </c>
      <c r="G6" s="433">
        <v>6924</v>
      </c>
      <c r="H6" s="719">
        <v>6781</v>
      </c>
      <c r="I6" s="85"/>
      <c r="J6" s="420"/>
      <c r="K6" s="730"/>
      <c r="M6" s="815"/>
      <c r="O6" s="815"/>
    </row>
    <row r="7" spans="1:15" ht="12.75" customHeight="1" x14ac:dyDescent="0.2">
      <c r="C7" s="78" t="s">
        <v>21</v>
      </c>
      <c r="D7" s="75"/>
      <c r="E7" s="84">
        <v>873</v>
      </c>
      <c r="F7" s="84">
        <v>1000</v>
      </c>
      <c r="G7" s="84">
        <v>1115</v>
      </c>
      <c r="H7" s="720">
        <v>1243</v>
      </c>
      <c r="I7" s="85"/>
      <c r="J7" s="420"/>
      <c r="K7" s="730"/>
      <c r="M7" s="815"/>
      <c r="O7" s="815"/>
    </row>
    <row r="8" spans="1:15" ht="12.75" customHeight="1" x14ac:dyDescent="0.2">
      <c r="C8" s="78" t="s">
        <v>22</v>
      </c>
      <c r="D8" s="75"/>
      <c r="E8" s="433">
        <v>7255</v>
      </c>
      <c r="F8" s="433">
        <v>7705</v>
      </c>
      <c r="G8" s="433">
        <v>8039</v>
      </c>
      <c r="H8" s="719">
        <v>8024</v>
      </c>
      <c r="I8" s="85"/>
      <c r="J8" s="420"/>
      <c r="K8" s="730"/>
      <c r="M8" s="815"/>
      <c r="O8" s="815"/>
    </row>
    <row r="9" spans="1:15" ht="12.75" customHeight="1" x14ac:dyDescent="0.2">
      <c r="C9" s="465" t="s">
        <v>52</v>
      </c>
      <c r="D9" s="75"/>
      <c r="E9" s="433"/>
      <c r="F9" s="433"/>
      <c r="G9" s="433"/>
      <c r="H9" s="719"/>
      <c r="I9" s="85"/>
      <c r="J9" s="420"/>
      <c r="K9" s="730"/>
      <c r="M9" s="815"/>
      <c r="O9" s="815"/>
    </row>
    <row r="10" spans="1:15" ht="12.75" customHeight="1" x14ac:dyDescent="0.2">
      <c r="C10" s="78" t="s">
        <v>20</v>
      </c>
      <c r="D10" s="75"/>
      <c r="E10" s="433">
        <v>3174</v>
      </c>
      <c r="F10" s="433">
        <v>2852</v>
      </c>
      <c r="G10" s="433">
        <v>2741</v>
      </c>
      <c r="H10" s="719">
        <v>2329</v>
      </c>
      <c r="I10" s="85"/>
      <c r="J10" s="420"/>
      <c r="K10" s="730"/>
      <c r="M10" s="815"/>
      <c r="O10" s="815"/>
    </row>
    <row r="11" spans="1:15" ht="12.75" customHeight="1" x14ac:dyDescent="0.2">
      <c r="C11" s="78" t="s">
        <v>21</v>
      </c>
      <c r="D11" s="75"/>
      <c r="E11" s="84">
        <v>4464</v>
      </c>
      <c r="F11" s="84">
        <v>4209</v>
      </c>
      <c r="G11" s="84">
        <v>3980</v>
      </c>
      <c r="H11" s="720">
        <v>3399</v>
      </c>
      <c r="I11" s="85"/>
      <c r="J11" s="420"/>
      <c r="K11" s="730"/>
      <c r="M11" s="815"/>
      <c r="O11" s="815"/>
    </row>
    <row r="12" spans="1:15" ht="12.75" customHeight="1" x14ac:dyDescent="0.2">
      <c r="C12" s="78" t="s">
        <v>22</v>
      </c>
      <c r="D12" s="75"/>
      <c r="E12" s="433">
        <v>7638</v>
      </c>
      <c r="F12" s="433">
        <v>7061</v>
      </c>
      <c r="G12" s="433">
        <v>6721</v>
      </c>
      <c r="H12" s="719">
        <v>5728</v>
      </c>
      <c r="I12" s="85"/>
      <c r="J12" s="420"/>
      <c r="K12" s="730"/>
      <c r="M12" s="815"/>
      <c r="O12" s="815"/>
    </row>
    <row r="13" spans="1:15" ht="12.75" customHeight="1" x14ac:dyDescent="0.2">
      <c r="C13" s="465" t="s">
        <v>24</v>
      </c>
      <c r="D13" s="75"/>
      <c r="E13" s="433">
        <v>2145</v>
      </c>
      <c r="F13" s="433">
        <v>1973</v>
      </c>
      <c r="G13" s="433">
        <v>1734</v>
      </c>
      <c r="H13" s="719">
        <v>1546</v>
      </c>
      <c r="I13" s="85"/>
      <c r="J13" s="420"/>
      <c r="K13" s="730"/>
      <c r="M13" s="815"/>
      <c r="O13" s="815"/>
    </row>
    <row r="14" spans="1:15" ht="12.75" customHeight="1" x14ac:dyDescent="0.2">
      <c r="C14" s="465" t="s">
        <v>53</v>
      </c>
      <c r="D14" s="75"/>
      <c r="E14" s="433">
        <v>1982</v>
      </c>
      <c r="F14" s="433">
        <v>2706</v>
      </c>
      <c r="G14" s="433">
        <v>2674</v>
      </c>
      <c r="H14" s="719">
        <v>3365</v>
      </c>
      <c r="I14" s="85"/>
      <c r="J14" s="420"/>
      <c r="K14" s="730"/>
      <c r="M14" s="815"/>
      <c r="O14" s="815"/>
    </row>
    <row r="15" spans="1:15" ht="12.75" customHeight="1" x14ac:dyDescent="0.2">
      <c r="C15" s="465" t="s">
        <v>26</v>
      </c>
      <c r="D15" s="75"/>
      <c r="E15" s="84">
        <v>1002</v>
      </c>
      <c r="F15" s="84">
        <v>1028</v>
      </c>
      <c r="G15" s="84">
        <v>872</v>
      </c>
      <c r="H15" s="720">
        <v>826</v>
      </c>
      <c r="I15" s="85"/>
      <c r="J15" s="420"/>
      <c r="K15" s="730"/>
      <c r="M15" s="815"/>
      <c r="O15" s="815"/>
    </row>
    <row r="16" spans="1:15" ht="12.75" customHeight="1" x14ac:dyDescent="0.2">
      <c r="B16" s="79"/>
      <c r="C16" s="80" t="s">
        <v>28</v>
      </c>
      <c r="D16" s="81"/>
      <c r="E16" s="434">
        <v>20022</v>
      </c>
      <c r="F16" s="434">
        <v>20473</v>
      </c>
      <c r="G16" s="434">
        <v>20040</v>
      </c>
      <c r="H16" s="721">
        <v>19489</v>
      </c>
      <c r="I16" s="86"/>
      <c r="J16" s="421">
        <v>-4.2</v>
      </c>
      <c r="K16" s="731">
        <v>-4.4000000000000004</v>
      </c>
      <c r="M16" s="815"/>
      <c r="O16" s="815"/>
    </row>
    <row r="17" spans="2:15" ht="12.75" customHeight="1" x14ac:dyDescent="0.2">
      <c r="C17" s="465" t="s">
        <v>54</v>
      </c>
      <c r="D17" s="75"/>
      <c r="E17" s="84">
        <v>1758</v>
      </c>
      <c r="F17" s="84">
        <v>2192</v>
      </c>
      <c r="G17" s="84">
        <v>1994</v>
      </c>
      <c r="H17" s="720">
        <v>2093</v>
      </c>
      <c r="I17" s="85"/>
      <c r="J17" s="420"/>
      <c r="K17" s="730"/>
      <c r="M17" s="815"/>
      <c r="O17" s="815"/>
    </row>
    <row r="18" spans="2:15" s="82" customFormat="1" ht="12.75" customHeight="1" x14ac:dyDescent="0.2">
      <c r="B18" s="79"/>
      <c r="C18" s="80" t="s">
        <v>18</v>
      </c>
      <c r="D18" s="81"/>
      <c r="E18" s="434">
        <v>21780</v>
      </c>
      <c r="F18" s="434">
        <v>22665</v>
      </c>
      <c r="G18" s="434">
        <v>22034</v>
      </c>
      <c r="H18" s="721">
        <v>21582</v>
      </c>
      <c r="I18" s="86"/>
      <c r="J18" s="421">
        <v>-3.2</v>
      </c>
      <c r="K18" s="731">
        <v>-3.8</v>
      </c>
      <c r="L18" s="45"/>
      <c r="M18" s="815"/>
      <c r="N18" s="395"/>
      <c r="O18" s="815"/>
    </row>
    <row r="19" spans="2:15" ht="12.75" customHeight="1" x14ac:dyDescent="0.2">
      <c r="C19" s="465" t="s">
        <v>55</v>
      </c>
      <c r="D19" s="75"/>
      <c r="E19" s="433">
        <v>-5416</v>
      </c>
      <c r="F19" s="433">
        <v>-5521</v>
      </c>
      <c r="G19" s="433">
        <v>-5375</v>
      </c>
      <c r="H19" s="719">
        <v>-5056</v>
      </c>
      <c r="I19" s="85"/>
      <c r="J19" s="420"/>
      <c r="K19" s="730"/>
      <c r="M19" s="815"/>
      <c r="O19" s="815"/>
    </row>
    <row r="20" spans="2:15" s="82" customFormat="1" ht="12.75" customHeight="1" x14ac:dyDescent="0.2">
      <c r="B20" s="366"/>
      <c r="C20" s="832" t="s">
        <v>56</v>
      </c>
      <c r="D20" s="833"/>
      <c r="E20" s="85">
        <v>-4317</v>
      </c>
      <c r="F20" s="85">
        <v>-4584</v>
      </c>
      <c r="G20" s="85">
        <v>-4476</v>
      </c>
      <c r="H20" s="719">
        <v>-4769</v>
      </c>
      <c r="I20" s="85"/>
      <c r="J20" s="420"/>
      <c r="K20" s="730"/>
      <c r="L20" s="45"/>
      <c r="M20" s="815"/>
      <c r="N20" s="395"/>
      <c r="O20" s="815"/>
    </row>
    <row r="21" spans="2:15" ht="12.75" customHeight="1" x14ac:dyDescent="0.2">
      <c r="C21" s="832" t="s">
        <v>57</v>
      </c>
      <c r="D21" s="833"/>
      <c r="E21" s="435">
        <v>-5345</v>
      </c>
      <c r="F21" s="435">
        <v>-5696</v>
      </c>
      <c r="G21" s="435">
        <v>-5574</v>
      </c>
      <c r="H21" s="719">
        <v>-5535</v>
      </c>
      <c r="I21" s="85"/>
      <c r="J21" s="420"/>
      <c r="K21" s="730"/>
      <c r="M21" s="815"/>
      <c r="O21" s="815"/>
    </row>
    <row r="22" spans="2:15" ht="12.75" customHeight="1" x14ac:dyDescent="0.2">
      <c r="B22" s="79"/>
      <c r="C22" s="80" t="s">
        <v>58</v>
      </c>
      <c r="D22" s="81"/>
      <c r="E22" s="434">
        <v>6702</v>
      </c>
      <c r="F22" s="434">
        <v>6864</v>
      </c>
      <c r="G22" s="434">
        <v>6609</v>
      </c>
      <c r="H22" s="722">
        <v>6222</v>
      </c>
      <c r="I22" s="86"/>
      <c r="J22" s="421">
        <v>-4.0999999999999996</v>
      </c>
      <c r="K22" s="731">
        <v>-10.9</v>
      </c>
      <c r="M22" s="815"/>
      <c r="O22" s="815"/>
    </row>
    <row r="23" spans="2:15" ht="12.75" customHeight="1" x14ac:dyDescent="0.2">
      <c r="B23" s="79"/>
      <c r="C23" s="465" t="s">
        <v>59</v>
      </c>
      <c r="D23" s="81"/>
      <c r="E23" s="433"/>
      <c r="F23" s="433"/>
      <c r="G23" s="433"/>
      <c r="H23" s="719"/>
      <c r="I23" s="86"/>
      <c r="J23" s="420"/>
      <c r="K23" s="730"/>
      <c r="M23" s="815"/>
      <c r="O23" s="815"/>
    </row>
    <row r="24" spans="2:15" s="82" customFormat="1" ht="12.75" customHeight="1" x14ac:dyDescent="0.2">
      <c r="B24" s="366"/>
      <c r="C24" s="83" t="s">
        <v>60</v>
      </c>
      <c r="D24" s="75"/>
      <c r="E24" s="433">
        <v>-229</v>
      </c>
      <c r="F24" s="433">
        <v>-227</v>
      </c>
      <c r="G24" s="433">
        <f>5841-6048</f>
        <v>-207</v>
      </c>
      <c r="H24" s="719">
        <v>-211</v>
      </c>
      <c r="I24" s="85"/>
      <c r="J24" s="420"/>
      <c r="K24" s="730"/>
      <c r="L24" s="45"/>
      <c r="M24" s="815"/>
      <c r="N24" s="395"/>
      <c r="O24" s="815"/>
    </row>
    <row r="25" spans="2:15" s="82" customFormat="1" ht="12.75" customHeight="1" x14ac:dyDescent="0.2">
      <c r="B25" s="366"/>
      <c r="C25" s="83" t="s">
        <v>61</v>
      </c>
      <c r="D25" s="75"/>
      <c r="E25" s="433">
        <v>-619</v>
      </c>
      <c r="F25" s="433">
        <v>-669</v>
      </c>
      <c r="G25" s="433">
        <v>-711</v>
      </c>
      <c r="H25" s="719">
        <v>-704</v>
      </c>
      <c r="I25" s="85"/>
      <c r="J25" s="420"/>
      <c r="K25" s="730"/>
      <c r="L25" s="45"/>
      <c r="M25" s="815"/>
      <c r="N25" s="395"/>
      <c r="O25" s="815"/>
    </row>
    <row r="26" spans="2:15" ht="12.75" customHeight="1" x14ac:dyDescent="0.2">
      <c r="C26" s="83" t="s">
        <v>62</v>
      </c>
      <c r="D26" s="75"/>
      <c r="E26" s="433">
        <v>-2744</v>
      </c>
      <c r="F26" s="433">
        <v>-3055</v>
      </c>
      <c r="G26" s="433">
        <v>-3042</v>
      </c>
      <c r="H26" s="719">
        <v>-3306</v>
      </c>
      <c r="I26" s="85"/>
      <c r="J26" s="420"/>
      <c r="K26" s="730"/>
      <c r="M26" s="815"/>
      <c r="O26" s="815"/>
    </row>
    <row r="27" spans="2:15" ht="12.75" customHeight="1" x14ac:dyDescent="0.2">
      <c r="C27" s="465" t="s">
        <v>259</v>
      </c>
      <c r="D27" s="75"/>
      <c r="E27" s="84">
        <v>3270</v>
      </c>
      <c r="F27" s="84">
        <v>3284</v>
      </c>
      <c r="G27" s="84">
        <v>3192</v>
      </c>
      <c r="H27" s="719">
        <v>32</v>
      </c>
      <c r="I27" s="85"/>
      <c r="J27" s="420"/>
      <c r="K27" s="730"/>
      <c r="M27" s="815"/>
      <c r="O27" s="815"/>
    </row>
    <row r="28" spans="2:15" ht="12.75" customHeight="1" thickBot="1" x14ac:dyDescent="0.25">
      <c r="B28" s="79"/>
      <c r="C28" s="80" t="s">
        <v>64</v>
      </c>
      <c r="D28" s="81"/>
      <c r="E28" s="437">
        <v>6379</v>
      </c>
      <c r="F28" s="437">
        <v>6198</v>
      </c>
      <c r="G28" s="437">
        <f>SUM(G22:G27)</f>
        <v>5841</v>
      </c>
      <c r="H28" s="724">
        <v>2033</v>
      </c>
      <c r="I28" s="86"/>
      <c r="J28" s="421">
        <v>0</v>
      </c>
      <c r="K28" s="731">
        <v>-28.7</v>
      </c>
      <c r="M28" s="815"/>
      <c r="O28" s="815"/>
    </row>
    <row r="29" spans="2:15" ht="12.75" customHeight="1" thickTop="1" x14ac:dyDescent="0.2">
      <c r="C29" s="366"/>
      <c r="D29" s="75"/>
      <c r="E29" s="433"/>
      <c r="F29" s="433"/>
      <c r="G29" s="433"/>
      <c r="H29" s="719"/>
      <c r="I29" s="85"/>
      <c r="J29" s="420"/>
      <c r="K29" s="730"/>
      <c r="M29" s="815"/>
      <c r="O29" s="815"/>
    </row>
    <row r="30" spans="2:15" s="82" customFormat="1" ht="12.75" customHeight="1" x14ac:dyDescent="0.2">
      <c r="B30" s="366"/>
      <c r="C30" s="80" t="s">
        <v>65</v>
      </c>
      <c r="D30" s="75"/>
      <c r="E30" s="91">
        <v>0.308</v>
      </c>
      <c r="F30" s="91">
        <v>0.3028457974851092</v>
      </c>
      <c r="G30" s="91">
        <f>ROUND(G22/G18,3)</f>
        <v>0.3</v>
      </c>
      <c r="H30" s="723">
        <v>0.28799999999999998</v>
      </c>
      <c r="I30" s="85"/>
      <c r="J30" s="420"/>
      <c r="K30" s="730"/>
      <c r="L30" s="45"/>
      <c r="M30" s="815"/>
      <c r="N30" s="395"/>
      <c r="O30" s="815"/>
    </row>
    <row r="31" spans="2:15" ht="12.75" customHeight="1" x14ac:dyDescent="0.2">
      <c r="C31" s="83" t="s">
        <v>66</v>
      </c>
      <c r="D31" s="75"/>
      <c r="E31" s="433">
        <v>2516</v>
      </c>
      <c r="F31" s="433">
        <v>3750</v>
      </c>
      <c r="G31" s="433">
        <v>2702</v>
      </c>
      <c r="H31" s="719">
        <v>4400</v>
      </c>
      <c r="I31" s="85"/>
      <c r="J31" s="420"/>
      <c r="K31" s="730"/>
      <c r="M31" s="815"/>
      <c r="O31" s="815"/>
    </row>
    <row r="32" spans="2:15" s="82" customFormat="1" ht="12.75" customHeight="1" x14ac:dyDescent="0.2">
      <c r="B32" s="366"/>
      <c r="C32" s="366"/>
      <c r="D32" s="366"/>
      <c r="E32" s="436"/>
      <c r="F32" s="436"/>
      <c r="G32" s="436"/>
      <c r="H32" s="717"/>
      <c r="I32" s="74"/>
      <c r="J32" s="418"/>
      <c r="K32" s="728"/>
      <c r="L32" s="45"/>
      <c r="M32" s="815"/>
      <c r="N32" s="395"/>
      <c r="O32" s="815"/>
    </row>
    <row r="33" spans="2:15" ht="13.5" customHeight="1" x14ac:dyDescent="0.2">
      <c r="B33" s="834" t="s">
        <v>292</v>
      </c>
      <c r="C33" s="834"/>
      <c r="D33" s="75"/>
      <c r="E33" s="433"/>
      <c r="F33" s="433"/>
      <c r="G33" s="433"/>
      <c r="H33" s="719"/>
      <c r="I33" s="85"/>
      <c r="J33" s="420"/>
      <c r="K33" s="730"/>
      <c r="M33" s="815"/>
      <c r="O33" s="815"/>
    </row>
    <row r="34" spans="2:15" ht="12.75" customHeight="1" x14ac:dyDescent="0.2">
      <c r="C34" s="465" t="s">
        <v>19</v>
      </c>
      <c r="D34" s="75"/>
      <c r="E34" s="433"/>
      <c r="F34" s="433"/>
      <c r="G34" s="433"/>
      <c r="H34" s="719"/>
      <c r="I34" s="85"/>
      <c r="J34" s="420"/>
      <c r="K34" s="730"/>
      <c r="M34" s="815"/>
      <c r="O34" s="815"/>
    </row>
    <row r="35" spans="2:15" s="65" customFormat="1" ht="12.75" customHeight="1" x14ac:dyDescent="0.2">
      <c r="B35" s="366"/>
      <c r="C35" s="78" t="s">
        <v>20</v>
      </c>
      <c r="D35" s="75"/>
      <c r="E35" s="433">
        <v>5018</v>
      </c>
      <c r="F35" s="433">
        <v>5303</v>
      </c>
      <c r="G35" s="433">
        <v>5413</v>
      </c>
      <c r="H35" s="719">
        <v>5339</v>
      </c>
      <c r="I35" s="85"/>
      <c r="J35" s="420"/>
      <c r="K35" s="730"/>
      <c r="M35" s="815"/>
      <c r="N35" s="395"/>
      <c r="O35" s="815"/>
    </row>
    <row r="36" spans="2:15" s="65" customFormat="1" ht="12.75" customHeight="1" x14ac:dyDescent="0.2">
      <c r="B36" s="366"/>
      <c r="C36" s="78" t="s">
        <v>21</v>
      </c>
      <c r="D36" s="75"/>
      <c r="E36" s="84">
        <v>513</v>
      </c>
      <c r="F36" s="84">
        <v>592</v>
      </c>
      <c r="G36" s="84">
        <v>672</v>
      </c>
      <c r="H36" s="720">
        <v>701</v>
      </c>
      <c r="I36" s="85"/>
      <c r="J36" s="420"/>
      <c r="K36" s="730"/>
      <c r="M36" s="815"/>
      <c r="N36" s="395"/>
      <c r="O36" s="815"/>
    </row>
    <row r="37" spans="2:15" s="65" customFormat="1" ht="12.75" customHeight="1" x14ac:dyDescent="0.2">
      <c r="B37" s="366"/>
      <c r="C37" s="78" t="s">
        <v>22</v>
      </c>
      <c r="D37" s="75"/>
      <c r="E37" s="433">
        <v>5531</v>
      </c>
      <c r="F37" s="433">
        <v>5895</v>
      </c>
      <c r="G37" s="433">
        <v>6085</v>
      </c>
      <c r="H37" s="719">
        <v>6040</v>
      </c>
      <c r="I37" s="85"/>
      <c r="J37" s="420"/>
      <c r="K37" s="730"/>
      <c r="M37" s="815"/>
      <c r="N37" s="395"/>
      <c r="O37" s="815"/>
    </row>
    <row r="38" spans="2:15" s="65" customFormat="1" ht="12.75" customHeight="1" x14ac:dyDescent="0.2">
      <c r="B38" s="366"/>
      <c r="C38" s="465" t="s">
        <v>52</v>
      </c>
      <c r="D38" s="75"/>
      <c r="E38" s="433"/>
      <c r="F38" s="433"/>
      <c r="G38" s="433"/>
      <c r="H38" s="719"/>
      <c r="I38" s="85"/>
      <c r="J38" s="420"/>
      <c r="K38" s="730"/>
      <c r="M38" s="815"/>
      <c r="N38" s="395"/>
      <c r="O38" s="815"/>
    </row>
    <row r="39" spans="2:15" s="65" customFormat="1" ht="12.75" customHeight="1" x14ac:dyDescent="0.2">
      <c r="B39" s="366"/>
      <c r="C39" s="78" t="s">
        <v>20</v>
      </c>
      <c r="D39" s="75"/>
      <c r="E39" s="433">
        <v>2268</v>
      </c>
      <c r="F39" s="433">
        <v>1983</v>
      </c>
      <c r="G39" s="433">
        <v>1894</v>
      </c>
      <c r="H39" s="719">
        <v>1617</v>
      </c>
      <c r="I39" s="85"/>
      <c r="J39" s="420"/>
      <c r="K39" s="730"/>
      <c r="M39" s="815"/>
      <c r="N39" s="395"/>
      <c r="O39" s="815"/>
    </row>
    <row r="40" spans="2:15" s="65" customFormat="1" ht="12.75" customHeight="1" x14ac:dyDescent="0.2">
      <c r="B40" s="366"/>
      <c r="C40" s="78" t="s">
        <v>21</v>
      </c>
      <c r="D40" s="75"/>
      <c r="E40" s="84">
        <v>1784</v>
      </c>
      <c r="F40" s="84">
        <v>1552</v>
      </c>
      <c r="G40" s="84">
        <v>1344</v>
      </c>
      <c r="H40" s="720">
        <v>1092</v>
      </c>
      <c r="I40" s="85"/>
      <c r="J40" s="420"/>
      <c r="K40" s="730"/>
      <c r="M40" s="815"/>
      <c r="N40" s="395"/>
      <c r="O40" s="815"/>
    </row>
    <row r="41" spans="2:15" s="65" customFormat="1" ht="12.75" customHeight="1" x14ac:dyDescent="0.2">
      <c r="B41" s="366"/>
      <c r="C41" s="78" t="s">
        <v>22</v>
      </c>
      <c r="D41" s="75"/>
      <c r="E41" s="433">
        <v>4052</v>
      </c>
      <c r="F41" s="433">
        <v>3535</v>
      </c>
      <c r="G41" s="433">
        <v>3238</v>
      </c>
      <c r="H41" s="719">
        <v>2709</v>
      </c>
      <c r="I41" s="85"/>
      <c r="J41" s="420"/>
      <c r="K41" s="730"/>
      <c r="M41" s="815"/>
      <c r="N41" s="395"/>
      <c r="O41" s="815"/>
    </row>
    <row r="42" spans="2:15" s="65" customFormat="1" ht="12.75" customHeight="1" x14ac:dyDescent="0.2">
      <c r="B42" s="366"/>
      <c r="C42" s="465" t="s">
        <v>24</v>
      </c>
      <c r="D42" s="75"/>
      <c r="E42" s="433">
        <v>1181</v>
      </c>
      <c r="F42" s="433">
        <v>975</v>
      </c>
      <c r="G42" s="433">
        <v>815</v>
      </c>
      <c r="H42" s="719">
        <v>740</v>
      </c>
      <c r="I42" s="85"/>
      <c r="J42" s="420"/>
      <c r="K42" s="730"/>
      <c r="M42" s="815"/>
      <c r="N42" s="395"/>
      <c r="O42" s="815"/>
    </row>
    <row r="43" spans="2:15" s="65" customFormat="1" ht="12.75" customHeight="1" x14ac:dyDescent="0.2">
      <c r="B43" s="366"/>
      <c r="C43" s="465" t="s">
        <v>53</v>
      </c>
      <c r="D43" s="75"/>
      <c r="E43" s="433">
        <v>1729</v>
      </c>
      <c r="F43" s="433">
        <v>2399</v>
      </c>
      <c r="G43" s="433">
        <v>2239</v>
      </c>
      <c r="H43" s="719">
        <v>2942</v>
      </c>
      <c r="I43" s="85"/>
      <c r="J43" s="420"/>
      <c r="K43" s="730"/>
      <c r="M43" s="815"/>
      <c r="N43" s="395"/>
      <c r="O43" s="815"/>
    </row>
    <row r="44" spans="2:15" s="65" customFormat="1" ht="12.75" customHeight="1" x14ac:dyDescent="0.2">
      <c r="B44" s="366"/>
      <c r="C44" s="465" t="s">
        <v>26</v>
      </c>
      <c r="D44" s="75"/>
      <c r="E44" s="84">
        <v>605</v>
      </c>
      <c r="F44" s="84">
        <v>600</v>
      </c>
      <c r="G44" s="84">
        <v>609</v>
      </c>
      <c r="H44" s="720">
        <v>560</v>
      </c>
      <c r="I44" s="85"/>
      <c r="J44" s="420"/>
      <c r="K44" s="730"/>
      <c r="M44" s="815"/>
      <c r="N44" s="395"/>
      <c r="O44" s="815"/>
    </row>
    <row r="45" spans="2:15" s="65" customFormat="1" ht="12.75" customHeight="1" x14ac:dyDescent="0.2">
      <c r="B45" s="79"/>
      <c r="C45" s="80" t="s">
        <v>28</v>
      </c>
      <c r="D45" s="81"/>
      <c r="E45" s="434">
        <v>13098</v>
      </c>
      <c r="F45" s="434">
        <v>13404</v>
      </c>
      <c r="G45" s="434">
        <v>12986</v>
      </c>
      <c r="H45" s="721">
        <v>12991</v>
      </c>
      <c r="I45" s="86"/>
      <c r="J45" s="422">
        <v>-9.1999999999999993</v>
      </c>
      <c r="K45" s="732">
        <v>-9.1</v>
      </c>
      <c r="M45" s="815"/>
      <c r="N45" s="395"/>
      <c r="O45" s="815"/>
    </row>
    <row r="46" spans="2:15" s="82" customFormat="1" ht="12.75" customHeight="1" x14ac:dyDescent="0.2">
      <c r="B46" s="366"/>
      <c r="C46" s="465" t="s">
        <v>54</v>
      </c>
      <c r="D46" s="75"/>
      <c r="E46" s="84">
        <v>954</v>
      </c>
      <c r="F46" s="84">
        <v>1147</v>
      </c>
      <c r="G46" s="84">
        <v>1002</v>
      </c>
      <c r="H46" s="720">
        <v>1018</v>
      </c>
      <c r="I46" s="85"/>
      <c r="J46" s="420"/>
      <c r="K46" s="730"/>
      <c r="L46" s="45"/>
      <c r="M46" s="815"/>
      <c r="N46" s="395"/>
      <c r="O46" s="815"/>
    </row>
    <row r="47" spans="2:15" s="65" customFormat="1" ht="12.75" customHeight="1" x14ac:dyDescent="0.2">
      <c r="B47" s="79"/>
      <c r="C47" s="80" t="s">
        <v>18</v>
      </c>
      <c r="D47" s="81"/>
      <c r="E47" s="434">
        <v>14052</v>
      </c>
      <c r="F47" s="434">
        <v>14551</v>
      </c>
      <c r="G47" s="434">
        <v>13988</v>
      </c>
      <c r="H47" s="721">
        <v>14009</v>
      </c>
      <c r="I47" s="86"/>
      <c r="J47" s="421">
        <v>-8.8000000000000007</v>
      </c>
      <c r="K47" s="731">
        <v>-9.6999999999999993</v>
      </c>
      <c r="M47" s="815"/>
      <c r="N47" s="395"/>
      <c r="O47" s="815"/>
    </row>
    <row r="48" spans="2:15" s="82" customFormat="1" ht="12.75" customHeight="1" x14ac:dyDescent="0.2">
      <c r="B48" s="366"/>
      <c r="C48" s="465" t="s">
        <v>55</v>
      </c>
      <c r="D48" s="75"/>
      <c r="E48" s="433">
        <v>-3230</v>
      </c>
      <c r="F48" s="433">
        <v>-3352</v>
      </c>
      <c r="G48" s="433">
        <v>-3187</v>
      </c>
      <c r="H48" s="719">
        <v>-3096</v>
      </c>
      <c r="I48" s="85"/>
      <c r="J48" s="420"/>
      <c r="K48" s="730"/>
      <c r="L48" s="45"/>
      <c r="M48" s="815"/>
      <c r="N48" s="395"/>
      <c r="O48" s="815"/>
    </row>
    <row r="49" spans="2:15" s="65" customFormat="1" ht="12.75" customHeight="1" x14ac:dyDescent="0.2">
      <c r="B49" s="366"/>
      <c r="C49" s="832" t="s">
        <v>56</v>
      </c>
      <c r="D49" s="832"/>
      <c r="E49" s="85">
        <v>-3136</v>
      </c>
      <c r="F49" s="85">
        <v>-3361</v>
      </c>
      <c r="G49" s="85">
        <v>-3283</v>
      </c>
      <c r="H49" s="719">
        <v>-3568</v>
      </c>
      <c r="I49" s="85"/>
      <c r="J49" s="420"/>
      <c r="K49" s="730"/>
      <c r="M49" s="815"/>
      <c r="N49" s="395"/>
      <c r="O49" s="815"/>
    </row>
    <row r="50" spans="2:15" s="65" customFormat="1" ht="12.75" customHeight="1" x14ac:dyDescent="0.2">
      <c r="B50" s="366"/>
      <c r="C50" s="832" t="s">
        <v>57</v>
      </c>
      <c r="D50" s="832"/>
      <c r="E50" s="435">
        <v>-3105</v>
      </c>
      <c r="F50" s="435">
        <v>-3320</v>
      </c>
      <c r="G50" s="435">
        <v>-3320</v>
      </c>
      <c r="H50" s="719">
        <v>-3368</v>
      </c>
      <c r="I50" s="85"/>
      <c r="J50" s="420"/>
      <c r="K50" s="730"/>
      <c r="M50" s="815"/>
      <c r="N50" s="395"/>
      <c r="O50" s="815"/>
    </row>
    <row r="51" spans="2:15" s="65" customFormat="1" ht="12.75" customHeight="1" x14ac:dyDescent="0.2">
      <c r="B51" s="79"/>
      <c r="C51" s="80" t="s">
        <v>58</v>
      </c>
      <c r="D51" s="81"/>
      <c r="E51" s="434">
        <v>4581</v>
      </c>
      <c r="F51" s="434">
        <v>4518</v>
      </c>
      <c r="G51" s="434">
        <v>4198</v>
      </c>
      <c r="H51" s="722">
        <v>3977</v>
      </c>
      <c r="I51" s="86"/>
      <c r="J51" s="421">
        <v>-15.1</v>
      </c>
      <c r="K51" s="731">
        <v>-21.7</v>
      </c>
      <c r="M51" s="815"/>
      <c r="N51" s="395"/>
      <c r="O51" s="815"/>
    </row>
    <row r="52" spans="2:15" s="82" customFormat="1" ht="12.75" customHeight="1" x14ac:dyDescent="0.2">
      <c r="B52" s="79"/>
      <c r="C52" s="465" t="s">
        <v>59</v>
      </c>
      <c r="D52" s="81"/>
      <c r="E52" s="433"/>
      <c r="F52" s="433"/>
      <c r="G52" s="433"/>
      <c r="H52" s="719"/>
      <c r="I52" s="86"/>
      <c r="J52" s="420"/>
      <c r="K52" s="730"/>
      <c r="L52" s="45"/>
      <c r="M52" s="815"/>
      <c r="N52" s="395"/>
      <c r="O52" s="815"/>
    </row>
    <row r="53" spans="2:15" s="45" customFormat="1" ht="12.75" customHeight="1" x14ac:dyDescent="0.2">
      <c r="B53" s="366"/>
      <c r="C53" s="83" t="s">
        <v>60</v>
      </c>
      <c r="D53" s="75"/>
      <c r="E53" s="433">
        <v>-3</v>
      </c>
      <c r="F53" s="433">
        <v>-3</v>
      </c>
      <c r="G53" s="433">
        <f>1608-1612</f>
        <v>-4</v>
      </c>
      <c r="H53" s="719">
        <v>-16</v>
      </c>
      <c r="I53" s="85"/>
      <c r="J53" s="420"/>
      <c r="K53" s="730"/>
      <c r="M53" s="815"/>
      <c r="N53" s="395"/>
      <c r="O53" s="815"/>
    </row>
    <row r="54" spans="2:15" s="65" customFormat="1" ht="12.75" customHeight="1" x14ac:dyDescent="0.2">
      <c r="B54" s="366"/>
      <c r="C54" s="83" t="s">
        <v>61</v>
      </c>
      <c r="D54" s="75"/>
      <c r="E54" s="433">
        <v>-517</v>
      </c>
      <c r="F54" s="433">
        <v>-559</v>
      </c>
      <c r="G54" s="433">
        <v>-602</v>
      </c>
      <c r="H54" s="719">
        <v>-602</v>
      </c>
      <c r="I54" s="85"/>
      <c r="J54" s="420"/>
      <c r="K54" s="730"/>
      <c r="M54" s="815"/>
      <c r="N54" s="395"/>
      <c r="O54" s="815"/>
    </row>
    <row r="55" spans="2:15" s="65" customFormat="1" ht="12.75" customHeight="1" x14ac:dyDescent="0.2">
      <c r="B55" s="366"/>
      <c r="C55" s="83" t="s">
        <v>62</v>
      </c>
      <c r="D55" s="75"/>
      <c r="E55" s="433">
        <v>-1794</v>
      </c>
      <c r="F55" s="433">
        <v>-2050</v>
      </c>
      <c r="G55" s="433">
        <v>-1979</v>
      </c>
      <c r="H55" s="719">
        <v>-2272</v>
      </c>
      <c r="I55" s="85"/>
      <c r="J55" s="420"/>
      <c r="K55" s="730"/>
      <c r="M55" s="815"/>
      <c r="N55" s="395"/>
      <c r="O55" s="815"/>
    </row>
    <row r="56" spans="2:15" s="65" customFormat="1" ht="12.75" customHeight="1" x14ac:dyDescent="0.2">
      <c r="B56" s="366"/>
      <c r="C56" s="465" t="s">
        <v>259</v>
      </c>
      <c r="D56" s="75"/>
      <c r="E56" s="433">
        <v>1</v>
      </c>
      <c r="F56" s="84">
        <v>1</v>
      </c>
      <c r="G56" s="433">
        <v>-5</v>
      </c>
      <c r="H56" s="719">
        <v>-7</v>
      </c>
      <c r="I56" s="85"/>
      <c r="J56" s="420"/>
      <c r="K56" s="730"/>
      <c r="M56" s="815"/>
      <c r="N56" s="395"/>
      <c r="O56" s="815"/>
    </row>
    <row r="57" spans="2:15" s="65" customFormat="1" ht="12.75" customHeight="1" thickBot="1" x14ac:dyDescent="0.25">
      <c r="B57" s="79"/>
      <c r="C57" s="80" t="s">
        <v>64</v>
      </c>
      <c r="D57" s="81"/>
      <c r="E57" s="437">
        <v>2268</v>
      </c>
      <c r="F57" s="437">
        <v>1907</v>
      </c>
      <c r="G57" s="437">
        <f>SUM(G53:G56,G51)</f>
        <v>1608</v>
      </c>
      <c r="H57" s="724">
        <v>1080</v>
      </c>
      <c r="I57" s="86"/>
      <c r="J57" s="421">
        <v>-32.799999999999997</v>
      </c>
      <c r="K57" s="731">
        <v>-47</v>
      </c>
      <c r="M57" s="815"/>
      <c r="N57" s="395"/>
      <c r="O57" s="815"/>
    </row>
    <row r="58" spans="2:15" s="82" customFormat="1" ht="12.75" customHeight="1" thickTop="1" x14ac:dyDescent="0.2">
      <c r="B58" s="366"/>
      <c r="C58" s="366"/>
      <c r="D58" s="75"/>
      <c r="E58" s="438"/>
      <c r="F58" s="438"/>
      <c r="G58" s="438"/>
      <c r="H58" s="719"/>
      <c r="I58" s="90"/>
      <c r="J58" s="420"/>
      <c r="K58" s="730"/>
      <c r="L58" s="45"/>
      <c r="M58" s="815"/>
      <c r="N58" s="395"/>
      <c r="O58" s="815"/>
    </row>
    <row r="59" spans="2:15" s="65" customFormat="1" ht="12.75" customHeight="1" x14ac:dyDescent="0.2">
      <c r="B59" s="79"/>
      <c r="C59" s="80" t="s">
        <v>65</v>
      </c>
      <c r="D59" s="81"/>
      <c r="E59" s="91">
        <v>0.32600000000000001</v>
      </c>
      <c r="F59" s="91">
        <v>0.31</v>
      </c>
      <c r="G59" s="91">
        <f>ROUND(G51/G47,3)</f>
        <v>0.3</v>
      </c>
      <c r="H59" s="723">
        <v>0.28399999999999997</v>
      </c>
      <c r="I59" s="427"/>
      <c r="J59" s="421"/>
      <c r="K59" s="731"/>
      <c r="M59" s="815"/>
      <c r="N59" s="395"/>
      <c r="O59" s="815"/>
    </row>
    <row r="60" spans="2:15" s="45" customFormat="1" ht="12.75" customHeight="1" x14ac:dyDescent="0.2">
      <c r="B60" s="366"/>
      <c r="C60" s="83" t="s">
        <v>66</v>
      </c>
      <c r="D60" s="75"/>
      <c r="E60" s="433">
        <v>1397</v>
      </c>
      <c r="F60" s="433">
        <v>2214</v>
      </c>
      <c r="G60" s="433">
        <v>1597</v>
      </c>
      <c r="H60" s="719">
        <v>2565</v>
      </c>
      <c r="I60" s="85"/>
      <c r="J60" s="420"/>
      <c r="K60" s="730"/>
      <c r="M60" s="815"/>
      <c r="N60" s="395"/>
      <c r="O60" s="815"/>
    </row>
    <row r="61" spans="2:15" s="65" customFormat="1" ht="12.75" customHeight="1" x14ac:dyDescent="0.2">
      <c r="B61" s="366"/>
      <c r="C61" s="366"/>
      <c r="D61" s="75"/>
      <c r="E61" s="433"/>
      <c r="F61" s="433"/>
      <c r="G61" s="433"/>
      <c r="H61" s="719"/>
      <c r="I61" s="85"/>
      <c r="J61" s="420"/>
      <c r="K61" s="730"/>
      <c r="M61" s="815"/>
      <c r="N61" s="395"/>
      <c r="O61" s="815"/>
    </row>
    <row r="62" spans="2:15" s="366" customFormat="1" ht="12.75" customHeight="1" x14ac:dyDescent="0.2">
      <c r="B62" s="834" t="s">
        <v>29</v>
      </c>
      <c r="C62" s="821"/>
      <c r="D62" s="75"/>
      <c r="E62" s="433"/>
      <c r="F62" s="433"/>
      <c r="G62" s="433"/>
      <c r="H62" s="719"/>
      <c r="I62" s="85"/>
      <c r="J62" s="420"/>
      <c r="K62" s="730"/>
      <c r="L62" s="471"/>
      <c r="M62" s="815"/>
      <c r="N62" s="395"/>
      <c r="O62" s="815"/>
    </row>
    <row r="63" spans="2:15" ht="12.75" customHeight="1" x14ac:dyDescent="0.25">
      <c r="B63" s="471"/>
      <c r="C63" s="465" t="s">
        <v>19</v>
      </c>
      <c r="D63" s="17"/>
      <c r="E63" s="432"/>
      <c r="F63" s="432"/>
      <c r="G63" s="432"/>
      <c r="H63" s="719"/>
      <c r="I63" s="85"/>
      <c r="J63" s="420"/>
      <c r="K63" s="730"/>
      <c r="M63" s="815"/>
      <c r="O63" s="815"/>
    </row>
    <row r="64" spans="2:15" ht="12.75" customHeight="1" x14ac:dyDescent="0.2">
      <c r="B64" s="471"/>
      <c r="C64" s="78" t="s">
        <v>20</v>
      </c>
      <c r="D64" s="17"/>
      <c r="E64" s="433">
        <v>1610</v>
      </c>
      <c r="F64" s="433">
        <v>1726</v>
      </c>
      <c r="G64" s="433">
        <v>1767</v>
      </c>
      <c r="H64" s="719">
        <v>1736</v>
      </c>
      <c r="I64" s="85"/>
      <c r="J64" s="420"/>
      <c r="K64" s="730"/>
      <c r="M64" s="815"/>
      <c r="O64" s="815"/>
    </row>
    <row r="65" spans="2:15" ht="12.75" customHeight="1" x14ac:dyDescent="0.2">
      <c r="B65" s="471"/>
      <c r="C65" s="78" t="s">
        <v>21</v>
      </c>
      <c r="D65" s="17"/>
      <c r="E65" s="84">
        <v>41</v>
      </c>
      <c r="F65" s="84">
        <v>55</v>
      </c>
      <c r="G65" s="84">
        <v>67</v>
      </c>
      <c r="H65" s="720">
        <v>74</v>
      </c>
      <c r="I65" s="85"/>
      <c r="J65" s="420"/>
      <c r="K65" s="730"/>
      <c r="M65" s="815"/>
      <c r="O65" s="815"/>
    </row>
    <row r="66" spans="2:15" ht="12.75" customHeight="1" x14ac:dyDescent="0.2">
      <c r="B66" s="471"/>
      <c r="C66" s="78" t="s">
        <v>22</v>
      </c>
      <c r="D66" s="17"/>
      <c r="E66" s="433">
        <v>1651</v>
      </c>
      <c r="F66" s="433">
        <v>1781</v>
      </c>
      <c r="G66" s="433">
        <v>1834</v>
      </c>
      <c r="H66" s="719">
        <v>1810</v>
      </c>
      <c r="I66" s="85"/>
      <c r="J66" s="420"/>
      <c r="K66" s="730"/>
      <c r="M66" s="815"/>
      <c r="O66" s="815"/>
    </row>
    <row r="67" spans="2:15" ht="12.75" customHeight="1" x14ac:dyDescent="0.2">
      <c r="B67" s="471"/>
      <c r="C67" s="465" t="s">
        <v>52</v>
      </c>
      <c r="D67" s="17"/>
      <c r="E67" s="433"/>
      <c r="F67" s="433"/>
      <c r="G67" s="433"/>
      <c r="H67" s="719"/>
      <c r="I67" s="85"/>
      <c r="J67" s="420"/>
      <c r="K67" s="730"/>
      <c r="M67" s="815"/>
      <c r="O67" s="815"/>
    </row>
    <row r="68" spans="2:15" ht="12.75" customHeight="1" x14ac:dyDescent="0.2">
      <c r="B68" s="471"/>
      <c r="C68" s="78" t="s">
        <v>20</v>
      </c>
      <c r="D68" s="17"/>
      <c r="E68" s="433">
        <v>485</v>
      </c>
      <c r="F68" s="433">
        <v>403</v>
      </c>
      <c r="G68" s="433">
        <v>394</v>
      </c>
      <c r="H68" s="719">
        <v>310</v>
      </c>
      <c r="I68" s="85"/>
      <c r="J68" s="420"/>
      <c r="K68" s="730"/>
      <c r="M68" s="815"/>
      <c r="O68" s="815"/>
    </row>
    <row r="69" spans="2:15" ht="12.75" customHeight="1" x14ac:dyDescent="0.2">
      <c r="B69" s="471"/>
      <c r="C69" s="78" t="s">
        <v>21</v>
      </c>
      <c r="D69" s="17"/>
      <c r="E69" s="84">
        <v>247</v>
      </c>
      <c r="F69" s="84">
        <v>219</v>
      </c>
      <c r="G69" s="84">
        <v>213</v>
      </c>
      <c r="H69" s="720">
        <v>174</v>
      </c>
      <c r="I69" s="85"/>
      <c r="J69" s="420"/>
      <c r="K69" s="730"/>
      <c r="M69" s="815"/>
      <c r="O69" s="815"/>
    </row>
    <row r="70" spans="2:15" ht="12.75" customHeight="1" x14ac:dyDescent="0.2">
      <c r="B70" s="471"/>
      <c r="C70" s="78" t="s">
        <v>22</v>
      </c>
      <c r="D70" s="17"/>
      <c r="E70" s="433">
        <v>732</v>
      </c>
      <c r="F70" s="433">
        <v>622</v>
      </c>
      <c r="G70" s="433">
        <v>607</v>
      </c>
      <c r="H70" s="719">
        <v>484</v>
      </c>
      <c r="I70" s="85"/>
      <c r="J70" s="420"/>
      <c r="K70" s="730"/>
      <c r="M70" s="815"/>
      <c r="O70" s="815"/>
    </row>
    <row r="71" spans="2:15" ht="12.75" customHeight="1" x14ac:dyDescent="0.2">
      <c r="B71" s="471"/>
      <c r="C71" s="465" t="s">
        <v>24</v>
      </c>
      <c r="D71" s="17"/>
      <c r="E71" s="433">
        <v>207</v>
      </c>
      <c r="F71" s="433">
        <v>181</v>
      </c>
      <c r="G71" s="433">
        <v>156</v>
      </c>
      <c r="H71" s="719">
        <v>140</v>
      </c>
      <c r="I71" s="85"/>
      <c r="J71" s="420"/>
      <c r="K71" s="730"/>
      <c r="M71" s="815"/>
      <c r="O71" s="815"/>
    </row>
    <row r="72" spans="2:15" ht="12.75" customHeight="1" x14ac:dyDescent="0.2">
      <c r="B72" s="471"/>
      <c r="C72" s="465" t="s">
        <v>53</v>
      </c>
      <c r="D72" s="17"/>
      <c r="E72" s="433">
        <v>848</v>
      </c>
      <c r="F72" s="433">
        <v>864</v>
      </c>
      <c r="G72" s="433">
        <v>851</v>
      </c>
      <c r="H72" s="719">
        <v>1508</v>
      </c>
      <c r="I72" s="85"/>
      <c r="J72" s="420"/>
      <c r="K72" s="730"/>
      <c r="M72" s="815"/>
      <c r="O72" s="815"/>
    </row>
    <row r="73" spans="2:15" ht="12.75" customHeight="1" x14ac:dyDescent="0.2">
      <c r="B73" s="471"/>
      <c r="C73" s="465" t="s">
        <v>26</v>
      </c>
      <c r="D73" s="17"/>
      <c r="E73" s="84">
        <v>190</v>
      </c>
      <c r="F73" s="84">
        <v>199</v>
      </c>
      <c r="G73" s="84">
        <v>183</v>
      </c>
      <c r="H73" s="720">
        <v>166</v>
      </c>
      <c r="I73" s="85"/>
      <c r="J73" s="420"/>
      <c r="K73" s="730"/>
      <c r="M73" s="815"/>
      <c r="O73" s="815"/>
    </row>
    <row r="74" spans="2:15" ht="12.75" customHeight="1" x14ac:dyDescent="0.2">
      <c r="B74" s="79"/>
      <c r="C74" s="80" t="s">
        <v>28</v>
      </c>
      <c r="D74" s="81"/>
      <c r="E74" s="439">
        <v>3628</v>
      </c>
      <c r="F74" s="439">
        <v>3647</v>
      </c>
      <c r="G74" s="439">
        <v>3631</v>
      </c>
      <c r="H74" s="721">
        <v>4108</v>
      </c>
      <c r="I74" s="86"/>
      <c r="J74" s="421">
        <v>-5.6</v>
      </c>
      <c r="K74" s="731">
        <v>-6.8</v>
      </c>
      <c r="M74" s="815"/>
      <c r="O74" s="815"/>
    </row>
    <row r="75" spans="2:15" s="82" customFormat="1" ht="12.75" customHeight="1" x14ac:dyDescent="0.2">
      <c r="B75" s="471"/>
      <c r="C75" s="87" t="s">
        <v>54</v>
      </c>
      <c r="D75" s="17"/>
      <c r="E75" s="84">
        <v>263</v>
      </c>
      <c r="F75" s="84">
        <v>319</v>
      </c>
      <c r="G75" s="84">
        <v>269</v>
      </c>
      <c r="H75" s="720">
        <v>264</v>
      </c>
      <c r="I75" s="85"/>
      <c r="J75" s="420"/>
      <c r="K75" s="730"/>
      <c r="L75" s="45"/>
      <c r="M75" s="815"/>
      <c r="N75" s="395"/>
      <c r="O75" s="815"/>
    </row>
    <row r="76" spans="2:15" ht="12.75" customHeight="1" x14ac:dyDescent="0.2">
      <c r="B76" s="79"/>
      <c r="C76" s="80" t="s">
        <v>18</v>
      </c>
      <c r="D76" s="81"/>
      <c r="E76" s="439">
        <v>3891</v>
      </c>
      <c r="F76" s="439">
        <v>3966</v>
      </c>
      <c r="G76" s="439">
        <v>3900</v>
      </c>
      <c r="H76" s="721">
        <v>4372</v>
      </c>
      <c r="I76" s="86"/>
      <c r="J76" s="421">
        <v>-5.5</v>
      </c>
      <c r="K76" s="731">
        <v>-8.6</v>
      </c>
      <c r="M76" s="815"/>
      <c r="O76" s="815"/>
    </row>
    <row r="77" spans="2:15" s="82" customFormat="1" ht="12.75" customHeight="1" x14ac:dyDescent="0.2">
      <c r="B77" s="471"/>
      <c r="C77" s="87" t="s">
        <v>55</v>
      </c>
      <c r="D77" s="17"/>
      <c r="E77" s="433">
        <v>-837</v>
      </c>
      <c r="F77" s="433">
        <v>-895</v>
      </c>
      <c r="G77" s="433">
        <v>-858</v>
      </c>
      <c r="H77" s="719">
        <v>-965</v>
      </c>
      <c r="I77" s="85"/>
      <c r="J77" s="420"/>
      <c r="K77" s="730"/>
      <c r="L77" s="45"/>
      <c r="M77" s="815"/>
      <c r="N77" s="395"/>
      <c r="O77" s="815"/>
    </row>
    <row r="78" spans="2:15" ht="12.75" customHeight="1" x14ac:dyDescent="0.2">
      <c r="B78" s="471"/>
      <c r="C78" s="832" t="s">
        <v>56</v>
      </c>
      <c r="D78" s="833"/>
      <c r="E78" s="85">
        <v>-880</v>
      </c>
      <c r="F78" s="85">
        <v>-899</v>
      </c>
      <c r="G78" s="85">
        <v>-923</v>
      </c>
      <c r="H78" s="719">
        <v>-1038</v>
      </c>
      <c r="I78" s="85"/>
      <c r="J78" s="420"/>
      <c r="K78" s="730"/>
      <c r="M78" s="815"/>
      <c r="O78" s="815"/>
    </row>
    <row r="79" spans="2:15" ht="12.75" customHeight="1" x14ac:dyDescent="0.2">
      <c r="B79" s="471"/>
      <c r="C79" s="832" t="s">
        <v>57</v>
      </c>
      <c r="D79" s="833"/>
      <c r="E79" s="435">
        <v>-751</v>
      </c>
      <c r="F79" s="435">
        <v>-764</v>
      </c>
      <c r="G79" s="435">
        <v>-791</v>
      </c>
      <c r="H79" s="719">
        <v>-999</v>
      </c>
      <c r="I79" s="85"/>
      <c r="J79" s="420"/>
      <c r="K79" s="730"/>
      <c r="M79" s="815"/>
      <c r="O79" s="815"/>
    </row>
    <row r="80" spans="2:15" ht="12.75" customHeight="1" x14ac:dyDescent="0.2">
      <c r="B80" s="79"/>
      <c r="C80" s="80" t="s">
        <v>58</v>
      </c>
      <c r="D80" s="81"/>
      <c r="E80" s="440">
        <v>1423</v>
      </c>
      <c r="F80" s="440">
        <v>1408</v>
      </c>
      <c r="G80" s="440">
        <v>1328</v>
      </c>
      <c r="H80" s="722">
        <v>1370</v>
      </c>
      <c r="I80" s="86"/>
      <c r="J80" s="421">
        <v>-12.6</v>
      </c>
      <c r="K80" s="731">
        <v>-24.1</v>
      </c>
      <c r="M80" s="815"/>
      <c r="O80" s="815"/>
    </row>
    <row r="81" spans="2:15" s="82" customFormat="1" ht="12.75" customHeight="1" x14ac:dyDescent="0.2">
      <c r="B81" s="21"/>
      <c r="C81" s="87" t="s">
        <v>59</v>
      </c>
      <c r="D81" s="88"/>
      <c r="E81" s="433"/>
      <c r="F81" s="433"/>
      <c r="G81" s="433"/>
      <c r="H81" s="719"/>
      <c r="I81" s="86"/>
      <c r="J81" s="420"/>
      <c r="K81" s="730"/>
      <c r="L81" s="45"/>
      <c r="M81" s="815"/>
      <c r="N81" s="395"/>
      <c r="O81" s="815"/>
    </row>
    <row r="82" spans="2:15" s="82" customFormat="1" ht="12.75" customHeight="1" x14ac:dyDescent="0.2">
      <c r="B82" s="471"/>
      <c r="C82" s="89" t="s">
        <v>60</v>
      </c>
      <c r="D82" s="17"/>
      <c r="E82" s="433">
        <v>0</v>
      </c>
      <c r="F82" s="433">
        <v>0</v>
      </c>
      <c r="G82" s="433">
        <v>0</v>
      </c>
      <c r="H82" s="719">
        <v>0</v>
      </c>
      <c r="I82" s="85"/>
      <c r="J82" s="420"/>
      <c r="K82" s="730"/>
      <c r="L82" s="45"/>
      <c r="M82" s="815"/>
      <c r="N82" s="395"/>
      <c r="O82" s="815"/>
    </row>
    <row r="83" spans="2:15" ht="12.75" customHeight="1" x14ac:dyDescent="0.2">
      <c r="B83" s="471"/>
      <c r="C83" s="83" t="s">
        <v>61</v>
      </c>
      <c r="D83" s="17"/>
      <c r="E83" s="433">
        <v>-241</v>
      </c>
      <c r="F83" s="433">
        <v>-250</v>
      </c>
      <c r="G83" s="433">
        <v>-256</v>
      </c>
      <c r="H83" s="719">
        <v>-251</v>
      </c>
      <c r="I83" s="85"/>
      <c r="J83" s="420"/>
      <c r="K83" s="730"/>
      <c r="M83" s="815"/>
      <c r="O83" s="815"/>
    </row>
    <row r="84" spans="2:15" ht="12.75" customHeight="1" x14ac:dyDescent="0.2">
      <c r="B84" s="471"/>
      <c r="C84" s="89" t="s">
        <v>62</v>
      </c>
      <c r="D84" s="17"/>
      <c r="E84" s="433">
        <v>-429</v>
      </c>
      <c r="F84" s="433">
        <v>-510</v>
      </c>
      <c r="G84" s="433">
        <v>-483</v>
      </c>
      <c r="H84" s="719">
        <v>-791</v>
      </c>
      <c r="I84" s="85"/>
      <c r="J84" s="420"/>
      <c r="K84" s="730"/>
      <c r="M84" s="815"/>
      <c r="O84" s="815"/>
    </row>
    <row r="85" spans="2:15" ht="12.75" customHeight="1" x14ac:dyDescent="0.2">
      <c r="B85" s="471"/>
      <c r="C85" s="465" t="s">
        <v>259</v>
      </c>
      <c r="D85" s="17"/>
      <c r="E85" s="84">
        <v>0</v>
      </c>
      <c r="F85" s="84">
        <v>0</v>
      </c>
      <c r="G85" s="84">
        <v>0</v>
      </c>
      <c r="H85" s="719">
        <v>1</v>
      </c>
      <c r="I85" s="85"/>
      <c r="J85" s="420"/>
      <c r="K85" s="730"/>
      <c r="M85" s="815"/>
      <c r="O85" s="815"/>
    </row>
    <row r="86" spans="2:15" ht="12.75" customHeight="1" thickBot="1" x14ac:dyDescent="0.25">
      <c r="B86" s="79"/>
      <c r="C86" s="80" t="s">
        <v>64</v>
      </c>
      <c r="D86" s="81"/>
      <c r="E86" s="437">
        <v>753</v>
      </c>
      <c r="F86" s="437">
        <v>648</v>
      </c>
      <c r="G86" s="437">
        <v>589</v>
      </c>
      <c r="H86" s="724">
        <v>329</v>
      </c>
      <c r="I86" s="86"/>
      <c r="J86" s="421">
        <v>-27</v>
      </c>
      <c r="K86" s="731">
        <v>-47.1</v>
      </c>
      <c r="M86" s="815"/>
      <c r="O86" s="815"/>
    </row>
    <row r="87" spans="2:15" s="82" customFormat="1" ht="12.75" customHeight="1" thickTop="1" x14ac:dyDescent="0.2">
      <c r="B87" s="471"/>
      <c r="C87" s="471"/>
      <c r="D87" s="17"/>
      <c r="E87" s="438"/>
      <c r="F87" s="438"/>
      <c r="G87" s="438"/>
      <c r="H87" s="725"/>
      <c r="I87" s="90"/>
      <c r="J87" s="420"/>
      <c r="K87" s="730"/>
      <c r="L87" s="45"/>
      <c r="M87" s="815"/>
      <c r="N87" s="395"/>
      <c r="O87" s="815"/>
    </row>
    <row r="88" spans="2:15" ht="12.75" customHeight="1" x14ac:dyDescent="0.2">
      <c r="B88" s="21"/>
      <c r="C88" s="80" t="s">
        <v>65</v>
      </c>
      <c r="D88" s="88"/>
      <c r="E88" s="91">
        <v>0.36599999999999999</v>
      </c>
      <c r="F88" s="91">
        <v>0.35499999999999998</v>
      </c>
      <c r="G88" s="91">
        <f>ROUND(G80/G76,3)</f>
        <v>0.34100000000000003</v>
      </c>
      <c r="H88" s="723">
        <v>0.313</v>
      </c>
      <c r="I88" s="91"/>
      <c r="J88" s="421"/>
      <c r="K88" s="731"/>
      <c r="M88" s="815"/>
      <c r="O88" s="815"/>
    </row>
    <row r="89" spans="2:15" s="82" customFormat="1" ht="12.75" customHeight="1" x14ac:dyDescent="0.2">
      <c r="B89" s="471"/>
      <c r="C89" s="89" t="s">
        <v>66</v>
      </c>
      <c r="D89" s="17"/>
      <c r="E89" s="433">
        <v>445</v>
      </c>
      <c r="F89" s="433">
        <v>628</v>
      </c>
      <c r="G89" s="433">
        <v>565</v>
      </c>
      <c r="H89" s="719">
        <v>747</v>
      </c>
      <c r="I89" s="85"/>
      <c r="J89" s="420"/>
      <c r="K89" s="730"/>
      <c r="L89" s="45"/>
      <c r="M89" s="815"/>
      <c r="N89" s="395"/>
      <c r="O89" s="815"/>
    </row>
    <row r="90" spans="2:15" ht="12.75" customHeight="1" x14ac:dyDescent="0.2">
      <c r="C90" s="366"/>
      <c r="D90" s="75"/>
      <c r="E90" s="433"/>
      <c r="F90" s="433"/>
      <c r="G90" s="433"/>
      <c r="H90" s="719"/>
      <c r="I90" s="85"/>
      <c r="J90" s="420"/>
      <c r="K90" s="730"/>
      <c r="M90" s="815"/>
      <c r="O90" s="815"/>
    </row>
    <row r="91" spans="2:15" ht="12.75" customHeight="1" x14ac:dyDescent="0.2">
      <c r="B91" s="834" t="s">
        <v>433</v>
      </c>
      <c r="C91" s="821"/>
      <c r="D91" s="75"/>
      <c r="E91" s="433"/>
      <c r="F91" s="433"/>
      <c r="G91" s="433"/>
      <c r="H91" s="719"/>
      <c r="I91" s="85"/>
      <c r="J91" s="420"/>
      <c r="K91" s="730"/>
      <c r="M91" s="815"/>
      <c r="O91" s="815"/>
    </row>
    <row r="92" spans="2:15" ht="12.75" customHeight="1" x14ac:dyDescent="0.2">
      <c r="C92" s="465" t="s">
        <v>19</v>
      </c>
      <c r="D92" s="75"/>
      <c r="E92" s="433"/>
      <c r="F92" s="433"/>
      <c r="G92" s="433"/>
      <c r="H92" s="719"/>
      <c r="I92" s="85"/>
      <c r="J92" s="420"/>
      <c r="K92" s="730"/>
      <c r="M92" s="815"/>
      <c r="O92" s="815"/>
    </row>
    <row r="93" spans="2:15" ht="12.75" customHeight="1" x14ac:dyDescent="0.2">
      <c r="C93" s="78" t="s">
        <v>20</v>
      </c>
      <c r="D93" s="75"/>
      <c r="E93" s="433">
        <v>363</v>
      </c>
      <c r="F93" s="433">
        <v>396</v>
      </c>
      <c r="G93" s="433">
        <v>417</v>
      </c>
      <c r="H93" s="719">
        <v>397</v>
      </c>
      <c r="I93" s="85"/>
      <c r="J93" s="420"/>
      <c r="K93" s="730"/>
      <c r="M93" s="815"/>
      <c r="O93" s="815"/>
    </row>
    <row r="94" spans="2:15" ht="12.75" customHeight="1" x14ac:dyDescent="0.2">
      <c r="C94" s="78" t="s">
        <v>21</v>
      </c>
      <c r="D94" s="75"/>
      <c r="E94" s="84">
        <v>229</v>
      </c>
      <c r="F94" s="84">
        <v>294</v>
      </c>
      <c r="G94" s="84">
        <v>360</v>
      </c>
      <c r="H94" s="720">
        <v>401</v>
      </c>
      <c r="I94" s="85"/>
      <c r="J94" s="420"/>
      <c r="K94" s="730"/>
      <c r="M94" s="815"/>
      <c r="O94" s="815"/>
    </row>
    <row r="95" spans="2:15" ht="12.75" customHeight="1" x14ac:dyDescent="0.2">
      <c r="C95" s="78" t="s">
        <v>22</v>
      </c>
      <c r="D95" s="75"/>
      <c r="E95" s="433">
        <v>592</v>
      </c>
      <c r="F95" s="433">
        <v>690</v>
      </c>
      <c r="G95" s="433">
        <v>777</v>
      </c>
      <c r="H95" s="719">
        <v>798</v>
      </c>
      <c r="I95" s="85"/>
      <c r="J95" s="420"/>
      <c r="K95" s="730"/>
      <c r="M95" s="815"/>
      <c r="O95" s="815"/>
    </row>
    <row r="96" spans="2:15" ht="12.75" customHeight="1" x14ac:dyDescent="0.2">
      <c r="C96" s="465" t="s">
        <v>52</v>
      </c>
      <c r="D96" s="75"/>
      <c r="E96" s="433"/>
      <c r="F96" s="433"/>
      <c r="G96" s="433"/>
      <c r="H96" s="719"/>
      <c r="I96" s="85"/>
      <c r="J96" s="420"/>
      <c r="K96" s="730"/>
      <c r="M96" s="815"/>
      <c r="O96" s="815"/>
    </row>
    <row r="97" spans="2:15" ht="12.75" customHeight="1" x14ac:dyDescent="0.2">
      <c r="C97" s="78" t="s">
        <v>20</v>
      </c>
      <c r="D97" s="75"/>
      <c r="E97" s="433">
        <v>255</v>
      </c>
      <c r="F97" s="433">
        <v>215</v>
      </c>
      <c r="G97" s="433">
        <v>185</v>
      </c>
      <c r="H97" s="719">
        <v>149</v>
      </c>
      <c r="I97" s="85"/>
      <c r="J97" s="420"/>
      <c r="K97" s="730"/>
      <c r="L97" s="395"/>
      <c r="M97" s="815"/>
      <c r="O97" s="815"/>
    </row>
    <row r="98" spans="2:15" ht="12.75" customHeight="1" x14ac:dyDescent="0.2">
      <c r="C98" s="78" t="s">
        <v>21</v>
      </c>
      <c r="D98" s="75"/>
      <c r="E98" s="84">
        <v>835</v>
      </c>
      <c r="F98" s="84">
        <v>702</v>
      </c>
      <c r="G98" s="84">
        <v>547</v>
      </c>
      <c r="H98" s="720">
        <v>417</v>
      </c>
      <c r="I98" s="85"/>
      <c r="J98" s="420"/>
      <c r="K98" s="730"/>
      <c r="L98" s="395"/>
      <c r="M98" s="815"/>
      <c r="O98" s="815"/>
    </row>
    <row r="99" spans="2:15" ht="12.75" customHeight="1" x14ac:dyDescent="0.2">
      <c r="C99" s="78" t="s">
        <v>22</v>
      </c>
      <c r="D99" s="75"/>
      <c r="E99" s="433">
        <v>1090</v>
      </c>
      <c r="F99" s="433">
        <v>917</v>
      </c>
      <c r="G99" s="433">
        <v>732</v>
      </c>
      <c r="H99" s="719">
        <v>566</v>
      </c>
      <c r="I99" s="85"/>
      <c r="J99" s="420"/>
      <c r="K99" s="730"/>
      <c r="L99" s="395"/>
      <c r="M99" s="815"/>
      <c r="O99" s="815"/>
    </row>
    <row r="100" spans="2:15" ht="12.75" customHeight="1" x14ac:dyDescent="0.2">
      <c r="C100" s="465" t="s">
        <v>24</v>
      </c>
      <c r="D100" s="75"/>
      <c r="E100" s="433">
        <v>221</v>
      </c>
      <c r="F100" s="433">
        <v>148</v>
      </c>
      <c r="G100" s="433">
        <v>137</v>
      </c>
      <c r="H100" s="719">
        <v>130</v>
      </c>
      <c r="I100" s="85"/>
      <c r="J100" s="420"/>
      <c r="K100" s="730"/>
      <c r="L100" s="395"/>
      <c r="M100" s="815"/>
      <c r="O100" s="815"/>
    </row>
    <row r="101" spans="2:15" ht="12.75" customHeight="1" x14ac:dyDescent="0.2">
      <c r="C101" s="465" t="s">
        <v>53</v>
      </c>
      <c r="D101" s="75"/>
      <c r="E101" s="433">
        <v>272</v>
      </c>
      <c r="F101" s="433">
        <v>274</v>
      </c>
      <c r="G101" s="433">
        <v>279</v>
      </c>
      <c r="H101" s="719">
        <v>286</v>
      </c>
      <c r="I101" s="85"/>
      <c r="J101" s="420"/>
      <c r="K101" s="730"/>
      <c r="L101" s="395"/>
      <c r="M101" s="815"/>
      <c r="O101" s="815"/>
    </row>
    <row r="102" spans="2:15" ht="12.75" customHeight="1" x14ac:dyDescent="0.2">
      <c r="C102" s="465" t="s">
        <v>26</v>
      </c>
      <c r="D102" s="75"/>
      <c r="E102" s="84">
        <v>95</v>
      </c>
      <c r="F102" s="84">
        <v>81</v>
      </c>
      <c r="G102" s="84">
        <v>78</v>
      </c>
      <c r="H102" s="720">
        <v>80</v>
      </c>
      <c r="I102" s="85"/>
      <c r="J102" s="420"/>
      <c r="K102" s="730"/>
      <c r="L102" s="395"/>
      <c r="M102" s="815"/>
      <c r="O102" s="815"/>
    </row>
    <row r="103" spans="2:15" ht="12.75" customHeight="1" x14ac:dyDescent="0.2">
      <c r="B103" s="79"/>
      <c r="C103" s="80" t="s">
        <v>28</v>
      </c>
      <c r="D103" s="81"/>
      <c r="E103" s="434">
        <v>2270</v>
      </c>
      <c r="F103" s="434">
        <v>2110</v>
      </c>
      <c r="G103" s="434">
        <v>2003</v>
      </c>
      <c r="H103" s="721">
        <v>1860</v>
      </c>
      <c r="I103" s="86"/>
      <c r="J103" s="421">
        <v>-16.7</v>
      </c>
      <c r="K103" s="731">
        <v>-17.5</v>
      </c>
      <c r="L103" s="395"/>
      <c r="M103" s="815"/>
      <c r="O103" s="815"/>
    </row>
    <row r="104" spans="2:15" ht="12.75" customHeight="1" x14ac:dyDescent="0.2">
      <c r="C104" s="465" t="s">
        <v>54</v>
      </c>
      <c r="D104" s="75"/>
      <c r="E104" s="84">
        <v>158</v>
      </c>
      <c r="F104" s="84">
        <v>217</v>
      </c>
      <c r="G104" s="84">
        <v>214</v>
      </c>
      <c r="H104" s="720">
        <v>235</v>
      </c>
      <c r="I104" s="85"/>
      <c r="J104" s="420"/>
      <c r="K104" s="730"/>
      <c r="L104" s="395"/>
      <c r="M104" s="815"/>
      <c r="O104" s="815"/>
    </row>
    <row r="105" spans="2:15" ht="12.75" customHeight="1" x14ac:dyDescent="0.2">
      <c r="B105" s="79"/>
      <c r="C105" s="80" t="s">
        <v>18</v>
      </c>
      <c r="D105" s="81"/>
      <c r="E105" s="434">
        <v>2428</v>
      </c>
      <c r="F105" s="434">
        <v>2327</v>
      </c>
      <c r="G105" s="434">
        <v>2217</v>
      </c>
      <c r="H105" s="721">
        <v>2095</v>
      </c>
      <c r="I105" s="86"/>
      <c r="J105" s="421">
        <v>-13.8</v>
      </c>
      <c r="K105" s="731">
        <v>-15.7</v>
      </c>
      <c r="L105" s="395"/>
      <c r="M105" s="815"/>
      <c r="O105" s="815"/>
    </row>
    <row r="106" spans="2:15" ht="12.75" customHeight="1" x14ac:dyDescent="0.2">
      <c r="C106" s="465" t="s">
        <v>55</v>
      </c>
      <c r="D106" s="75"/>
      <c r="E106" s="433">
        <v>-542</v>
      </c>
      <c r="F106" s="433">
        <v>-474</v>
      </c>
      <c r="G106" s="433">
        <v>-492</v>
      </c>
      <c r="H106" s="719">
        <v>-452</v>
      </c>
      <c r="I106" s="85"/>
      <c r="J106" s="420"/>
      <c r="K106" s="730"/>
      <c r="L106" s="395"/>
      <c r="M106" s="815"/>
      <c r="O106" s="815"/>
    </row>
    <row r="107" spans="2:15" ht="12.75" customHeight="1" x14ac:dyDescent="0.2">
      <c r="C107" s="832" t="s">
        <v>56</v>
      </c>
      <c r="D107" s="833"/>
      <c r="E107" s="433">
        <v>-366</v>
      </c>
      <c r="F107" s="433">
        <v>-478</v>
      </c>
      <c r="G107" s="433">
        <v>-409</v>
      </c>
      <c r="H107" s="719">
        <v>-454</v>
      </c>
      <c r="I107" s="85"/>
      <c r="J107" s="420"/>
      <c r="K107" s="730"/>
      <c r="L107" s="395"/>
      <c r="M107" s="815"/>
      <c r="O107" s="815"/>
    </row>
    <row r="108" spans="2:15" ht="12.75" customHeight="1" x14ac:dyDescent="0.2">
      <c r="C108" s="832" t="s">
        <v>57</v>
      </c>
      <c r="D108" s="833"/>
      <c r="E108" s="433">
        <v>-487</v>
      </c>
      <c r="F108" s="433">
        <v>-491</v>
      </c>
      <c r="G108" s="433">
        <v>-498</v>
      </c>
      <c r="H108" s="719">
        <v>-471</v>
      </c>
      <c r="I108" s="85"/>
      <c r="J108" s="420"/>
      <c r="K108" s="730"/>
      <c r="L108" s="395"/>
      <c r="M108" s="815"/>
      <c r="O108" s="815"/>
    </row>
    <row r="109" spans="2:15" ht="12.75" customHeight="1" x14ac:dyDescent="0.2">
      <c r="B109" s="79"/>
      <c r="C109" s="80" t="s">
        <v>58</v>
      </c>
      <c r="D109" s="81"/>
      <c r="E109" s="440">
        <v>1033</v>
      </c>
      <c r="F109" s="440">
        <v>884</v>
      </c>
      <c r="G109" s="440">
        <v>818</v>
      </c>
      <c r="H109" s="722">
        <v>718</v>
      </c>
      <c r="I109" s="86"/>
      <c r="J109" s="421">
        <v>-25.4</v>
      </c>
      <c r="K109" s="731">
        <v>-24.3</v>
      </c>
      <c r="L109" s="395"/>
      <c r="M109" s="815"/>
      <c r="O109" s="815"/>
    </row>
    <row r="110" spans="2:15" ht="12.75" customHeight="1" x14ac:dyDescent="0.2">
      <c r="B110" s="79"/>
      <c r="C110" s="465" t="s">
        <v>59</v>
      </c>
      <c r="D110" s="81"/>
      <c r="E110" s="433"/>
      <c r="F110" s="433"/>
      <c r="G110" s="433"/>
      <c r="H110" s="719"/>
      <c r="I110" s="86"/>
      <c r="J110" s="420"/>
      <c r="K110" s="730"/>
      <c r="L110" s="395"/>
      <c r="M110" s="815"/>
      <c r="O110" s="815"/>
    </row>
    <row r="111" spans="2:15" ht="12.75" customHeight="1" x14ac:dyDescent="0.2">
      <c r="C111" s="83" t="s">
        <v>60</v>
      </c>
      <c r="D111" s="75"/>
      <c r="E111" s="433">
        <v>0</v>
      </c>
      <c r="F111" s="433">
        <v>0</v>
      </c>
      <c r="G111" s="433">
        <v>0</v>
      </c>
      <c r="H111" s="719">
        <v>-14</v>
      </c>
      <c r="I111" s="85"/>
      <c r="J111" s="420"/>
      <c r="K111" s="730"/>
      <c r="L111" s="395"/>
      <c r="M111" s="815"/>
      <c r="O111" s="815"/>
    </row>
    <row r="112" spans="2:15" ht="12.75" customHeight="1" x14ac:dyDescent="0.2">
      <c r="C112" s="83" t="s">
        <v>61</v>
      </c>
      <c r="D112" s="75"/>
      <c r="E112" s="433">
        <v>-50</v>
      </c>
      <c r="F112" s="433">
        <v>-64</v>
      </c>
      <c r="G112" s="433">
        <v>-78</v>
      </c>
      <c r="H112" s="719">
        <v>-60</v>
      </c>
      <c r="I112" s="85"/>
      <c r="J112" s="420"/>
      <c r="K112" s="730"/>
      <c r="L112" s="395"/>
      <c r="M112" s="815"/>
      <c r="O112" s="815"/>
    </row>
    <row r="113" spans="2:15" ht="12.75" customHeight="1" x14ac:dyDescent="0.2">
      <c r="C113" s="83" t="s">
        <v>62</v>
      </c>
      <c r="D113" s="75"/>
      <c r="E113" s="433">
        <v>-293</v>
      </c>
      <c r="F113" s="433">
        <v>-338</v>
      </c>
      <c r="G113" s="433">
        <v>-320</v>
      </c>
      <c r="H113" s="719">
        <v>-338</v>
      </c>
      <c r="I113" s="85"/>
      <c r="J113" s="420"/>
      <c r="K113" s="730"/>
      <c r="L113" s="395"/>
      <c r="M113" s="815"/>
      <c r="O113" s="815"/>
    </row>
    <row r="114" spans="2:15" ht="12.75" customHeight="1" x14ac:dyDescent="0.2">
      <c r="C114" s="465" t="s">
        <v>259</v>
      </c>
      <c r="D114" s="75"/>
      <c r="E114" s="433">
        <v>0</v>
      </c>
      <c r="F114" s="84">
        <v>0</v>
      </c>
      <c r="G114" s="433">
        <v>0</v>
      </c>
      <c r="H114" s="719">
        <v>0</v>
      </c>
      <c r="I114" s="85"/>
      <c r="J114" s="420"/>
      <c r="K114" s="730"/>
      <c r="L114" s="395"/>
      <c r="M114" s="815"/>
      <c r="O114" s="815"/>
    </row>
    <row r="115" spans="2:15" ht="12.75" customHeight="1" thickBot="1" x14ac:dyDescent="0.25">
      <c r="B115" s="79"/>
      <c r="C115" s="80" t="s">
        <v>64</v>
      </c>
      <c r="D115" s="81"/>
      <c r="E115" s="437">
        <v>690</v>
      </c>
      <c r="F115" s="437">
        <v>482</v>
      </c>
      <c r="G115" s="437">
        <v>420</v>
      </c>
      <c r="H115" s="724">
        <v>306</v>
      </c>
      <c r="I115" s="86"/>
      <c r="J115" s="421">
        <v>-42.5</v>
      </c>
      <c r="K115" s="731">
        <v>-40.4</v>
      </c>
      <c r="L115" s="395"/>
      <c r="M115" s="815"/>
      <c r="O115" s="815"/>
    </row>
    <row r="116" spans="2:15" ht="12.75" customHeight="1" thickTop="1" x14ac:dyDescent="0.2">
      <c r="C116" s="366"/>
      <c r="D116" s="75"/>
      <c r="E116" s="433"/>
      <c r="F116" s="433"/>
      <c r="G116" s="433"/>
      <c r="H116" s="719"/>
      <c r="I116" s="85"/>
      <c r="J116" s="420"/>
      <c r="K116" s="730"/>
      <c r="L116" s="395"/>
      <c r="M116" s="815"/>
      <c r="O116" s="815"/>
    </row>
    <row r="117" spans="2:15" ht="12.75" customHeight="1" x14ac:dyDescent="0.2">
      <c r="B117" s="79"/>
      <c r="C117" s="80" t="s">
        <v>65</v>
      </c>
      <c r="D117" s="81"/>
      <c r="E117" s="91">
        <v>0.42499999999999999</v>
      </c>
      <c r="F117" s="91">
        <v>0.38</v>
      </c>
      <c r="G117" s="91">
        <f>ROUND(G109/G105,3)</f>
        <v>0.36899999999999999</v>
      </c>
      <c r="H117" s="723">
        <v>0.34300000000000003</v>
      </c>
      <c r="I117" s="91"/>
      <c r="J117" s="421"/>
      <c r="K117" s="731"/>
      <c r="L117" s="395"/>
      <c r="M117" s="815"/>
      <c r="O117" s="815"/>
    </row>
    <row r="118" spans="2:15" ht="12.75" customHeight="1" x14ac:dyDescent="0.2">
      <c r="C118" s="83" t="s">
        <v>66</v>
      </c>
      <c r="D118" s="75"/>
      <c r="E118" s="433">
        <v>239</v>
      </c>
      <c r="F118" s="433">
        <v>328</v>
      </c>
      <c r="G118" s="433">
        <v>214</v>
      </c>
      <c r="H118" s="719">
        <v>394</v>
      </c>
      <c r="I118" s="85"/>
      <c r="J118" s="420"/>
      <c r="K118" s="730"/>
      <c r="L118" s="395"/>
      <c r="M118" s="815"/>
      <c r="O118" s="815"/>
    </row>
    <row r="119" spans="2:15" ht="12.75" customHeight="1" x14ac:dyDescent="0.2">
      <c r="C119" s="83"/>
      <c r="D119" s="75"/>
      <c r="E119" s="433"/>
      <c r="F119" s="433"/>
      <c r="G119" s="433"/>
      <c r="H119" s="719"/>
      <c r="I119" s="85"/>
      <c r="J119" s="420"/>
      <c r="K119" s="730"/>
      <c r="L119" s="395"/>
      <c r="M119" s="815"/>
      <c r="O119" s="815"/>
    </row>
    <row r="120" spans="2:15" ht="12.75" customHeight="1" x14ac:dyDescent="0.2">
      <c r="B120" s="834" t="s">
        <v>31</v>
      </c>
      <c r="C120" s="821"/>
      <c r="D120" s="75"/>
      <c r="E120" s="433"/>
      <c r="F120" s="433"/>
      <c r="G120" s="433"/>
      <c r="H120" s="719"/>
      <c r="I120" s="85"/>
      <c r="J120" s="420"/>
      <c r="K120" s="730"/>
      <c r="L120" s="395"/>
      <c r="M120" s="815"/>
      <c r="O120" s="815"/>
    </row>
    <row r="121" spans="2:15" ht="12.75" customHeight="1" x14ac:dyDescent="0.2">
      <c r="C121" s="465" t="s">
        <v>19</v>
      </c>
      <c r="D121" s="75"/>
      <c r="E121" s="433"/>
      <c r="F121" s="433"/>
      <c r="G121" s="433"/>
      <c r="H121" s="719"/>
      <c r="I121" s="85"/>
      <c r="J121" s="420"/>
      <c r="K121" s="730"/>
      <c r="L121" s="395"/>
      <c r="M121" s="815"/>
      <c r="O121" s="815"/>
    </row>
    <row r="122" spans="2:15" ht="12.75" customHeight="1" x14ac:dyDescent="0.2">
      <c r="C122" s="78" t="s">
        <v>20</v>
      </c>
      <c r="D122" s="75"/>
      <c r="E122" s="433">
        <v>1149</v>
      </c>
      <c r="F122" s="433">
        <v>1183</v>
      </c>
      <c r="G122" s="433">
        <v>1175</v>
      </c>
      <c r="H122" s="719">
        <v>1216</v>
      </c>
      <c r="I122" s="85"/>
      <c r="J122" s="420"/>
      <c r="K122" s="730"/>
      <c r="L122" s="395"/>
      <c r="M122" s="815"/>
      <c r="O122" s="815"/>
    </row>
    <row r="123" spans="2:15" ht="12.75" customHeight="1" x14ac:dyDescent="0.2">
      <c r="C123" s="78" t="s">
        <v>21</v>
      </c>
      <c r="D123" s="75"/>
      <c r="E123" s="84">
        <v>69</v>
      </c>
      <c r="F123" s="84">
        <v>62</v>
      </c>
      <c r="G123" s="84">
        <v>49</v>
      </c>
      <c r="H123" s="720">
        <v>38</v>
      </c>
      <c r="I123" s="85"/>
      <c r="J123" s="420"/>
      <c r="K123" s="730"/>
      <c r="L123" s="395"/>
      <c r="M123" s="815"/>
      <c r="O123" s="815"/>
    </row>
    <row r="124" spans="2:15" ht="12.75" customHeight="1" x14ac:dyDescent="0.2">
      <c r="C124" s="78" t="s">
        <v>22</v>
      </c>
      <c r="D124" s="75"/>
      <c r="E124" s="433">
        <v>1218</v>
      </c>
      <c r="F124" s="433">
        <v>1245</v>
      </c>
      <c r="G124" s="433">
        <v>1224</v>
      </c>
      <c r="H124" s="719">
        <v>1254</v>
      </c>
      <c r="I124" s="85"/>
      <c r="J124" s="420"/>
      <c r="K124" s="730"/>
      <c r="L124" s="395"/>
      <c r="M124" s="815"/>
      <c r="O124" s="815"/>
    </row>
    <row r="125" spans="2:15" ht="12.75" customHeight="1" x14ac:dyDescent="0.2">
      <c r="C125" s="465" t="s">
        <v>52</v>
      </c>
      <c r="D125" s="75"/>
      <c r="E125" s="433"/>
      <c r="F125" s="433"/>
      <c r="G125" s="433"/>
      <c r="H125" s="719"/>
      <c r="I125" s="85"/>
      <c r="J125" s="420"/>
      <c r="K125" s="730"/>
      <c r="L125" s="395"/>
      <c r="M125" s="815"/>
      <c r="O125" s="815"/>
    </row>
    <row r="126" spans="2:15" ht="12.75" customHeight="1" x14ac:dyDescent="0.2">
      <c r="C126" s="78" t="s">
        <v>20</v>
      </c>
      <c r="D126" s="75"/>
      <c r="E126" s="433">
        <v>566</v>
      </c>
      <c r="F126" s="433">
        <v>533</v>
      </c>
      <c r="G126" s="433">
        <v>554</v>
      </c>
      <c r="H126" s="719">
        <v>492</v>
      </c>
      <c r="I126" s="85"/>
      <c r="J126" s="420"/>
      <c r="K126" s="730"/>
      <c r="L126" s="395"/>
      <c r="M126" s="815"/>
      <c r="O126" s="815"/>
    </row>
    <row r="127" spans="2:15" ht="12.75" customHeight="1" x14ac:dyDescent="0.2">
      <c r="C127" s="78" t="s">
        <v>21</v>
      </c>
      <c r="D127" s="75"/>
      <c r="E127" s="84">
        <v>168</v>
      </c>
      <c r="F127" s="84">
        <v>149</v>
      </c>
      <c r="G127" s="84">
        <v>135</v>
      </c>
      <c r="H127" s="720">
        <v>134</v>
      </c>
      <c r="I127" s="85"/>
      <c r="J127" s="420"/>
      <c r="K127" s="730"/>
      <c r="L127" s="395"/>
      <c r="M127" s="815"/>
      <c r="O127" s="815"/>
    </row>
    <row r="128" spans="2:15" ht="12.75" customHeight="1" x14ac:dyDescent="0.2">
      <c r="C128" s="78" t="s">
        <v>22</v>
      </c>
      <c r="D128" s="75"/>
      <c r="E128" s="433">
        <v>734</v>
      </c>
      <c r="F128" s="433">
        <v>682</v>
      </c>
      <c r="G128" s="433">
        <v>689</v>
      </c>
      <c r="H128" s="719">
        <v>626</v>
      </c>
      <c r="I128" s="85"/>
      <c r="J128" s="420"/>
      <c r="K128" s="730"/>
      <c r="L128" s="395"/>
      <c r="M128" s="815"/>
      <c r="O128" s="815"/>
    </row>
    <row r="129" spans="2:15" ht="12.75" customHeight="1" x14ac:dyDescent="0.2">
      <c r="C129" s="465" t="s">
        <v>24</v>
      </c>
      <c r="D129" s="75"/>
      <c r="E129" s="433">
        <v>263</v>
      </c>
      <c r="F129" s="433">
        <v>255</v>
      </c>
      <c r="G129" s="433">
        <v>194</v>
      </c>
      <c r="H129" s="719">
        <v>186</v>
      </c>
      <c r="I129" s="85"/>
      <c r="J129" s="420"/>
      <c r="K129" s="730"/>
      <c r="L129" s="395"/>
      <c r="M129" s="815"/>
      <c r="O129" s="815"/>
    </row>
    <row r="130" spans="2:15" ht="12.75" customHeight="1" x14ac:dyDescent="0.2">
      <c r="C130" s="465" t="s">
        <v>53</v>
      </c>
      <c r="D130" s="75"/>
      <c r="E130" s="433">
        <v>24</v>
      </c>
      <c r="F130" s="433">
        <v>24</v>
      </c>
      <c r="G130" s="433">
        <v>791</v>
      </c>
      <c r="H130" s="719">
        <v>805</v>
      </c>
      <c r="I130" s="85"/>
      <c r="J130" s="420"/>
      <c r="K130" s="730"/>
      <c r="L130" s="395"/>
      <c r="M130" s="815"/>
      <c r="O130" s="815"/>
    </row>
    <row r="131" spans="2:15" ht="12.75" customHeight="1" x14ac:dyDescent="0.2">
      <c r="C131" s="465" t="s">
        <v>26</v>
      </c>
      <c r="D131" s="75"/>
      <c r="E131" s="84">
        <v>172</v>
      </c>
      <c r="F131" s="84">
        <v>165</v>
      </c>
      <c r="G131" s="84">
        <v>160</v>
      </c>
      <c r="H131" s="720">
        <v>166</v>
      </c>
      <c r="I131" s="85"/>
      <c r="J131" s="420"/>
      <c r="K131" s="730"/>
      <c r="L131" s="395"/>
      <c r="M131" s="815"/>
      <c r="O131" s="815"/>
    </row>
    <row r="132" spans="2:15" ht="12.75" customHeight="1" x14ac:dyDescent="0.2">
      <c r="B132" s="79"/>
      <c r="C132" s="80" t="s">
        <v>28</v>
      </c>
      <c r="D132" s="81"/>
      <c r="E132" s="434">
        <v>2411</v>
      </c>
      <c r="F132" s="434">
        <v>2371</v>
      </c>
      <c r="G132" s="434">
        <v>3058</v>
      </c>
      <c r="H132" s="721">
        <v>3037</v>
      </c>
      <c r="I132" s="86"/>
      <c r="J132" s="421">
        <v>-4.4000000000000004</v>
      </c>
      <c r="K132" s="731">
        <v>-4.4000000000000004</v>
      </c>
      <c r="L132" s="395"/>
      <c r="M132" s="815"/>
      <c r="O132" s="815"/>
    </row>
    <row r="133" spans="2:15" ht="12.75" customHeight="1" x14ac:dyDescent="0.2">
      <c r="C133" s="465" t="s">
        <v>54</v>
      </c>
      <c r="D133" s="75"/>
      <c r="E133" s="84">
        <v>181</v>
      </c>
      <c r="F133" s="84">
        <v>187</v>
      </c>
      <c r="G133" s="84">
        <v>167</v>
      </c>
      <c r="H133" s="720">
        <v>165</v>
      </c>
      <c r="I133" s="85"/>
      <c r="J133" s="420"/>
      <c r="K133" s="730"/>
      <c r="L133" s="395"/>
      <c r="M133" s="815"/>
      <c r="O133" s="815"/>
    </row>
    <row r="134" spans="2:15" ht="12.75" customHeight="1" x14ac:dyDescent="0.2">
      <c r="B134" s="79"/>
      <c r="C134" s="80" t="s">
        <v>18</v>
      </c>
      <c r="D134" s="81"/>
      <c r="E134" s="434">
        <v>2592</v>
      </c>
      <c r="F134" s="434">
        <v>2558</v>
      </c>
      <c r="G134" s="434">
        <v>3225</v>
      </c>
      <c r="H134" s="721">
        <v>3202</v>
      </c>
      <c r="I134" s="86"/>
      <c r="J134" s="421">
        <v>-6</v>
      </c>
      <c r="K134" s="731">
        <v>-5.3</v>
      </c>
      <c r="L134" s="395"/>
      <c r="M134" s="815"/>
      <c r="O134" s="815"/>
    </row>
    <row r="135" spans="2:15" ht="12.75" customHeight="1" x14ac:dyDescent="0.2">
      <c r="C135" s="465" t="s">
        <v>55</v>
      </c>
      <c r="D135" s="75"/>
      <c r="E135" s="433">
        <v>-635</v>
      </c>
      <c r="F135" s="433">
        <v>-595</v>
      </c>
      <c r="G135" s="433">
        <v>-892</v>
      </c>
      <c r="H135" s="719">
        <v>-796</v>
      </c>
      <c r="I135" s="85"/>
      <c r="J135" s="420"/>
      <c r="K135" s="730"/>
      <c r="L135" s="395"/>
      <c r="M135" s="815"/>
      <c r="O135" s="815"/>
    </row>
    <row r="136" spans="2:15" ht="12.75" customHeight="1" x14ac:dyDescent="0.2">
      <c r="C136" s="832" t="s">
        <v>56</v>
      </c>
      <c r="D136" s="833"/>
      <c r="E136" s="433">
        <v>-812</v>
      </c>
      <c r="F136" s="433">
        <v>-764</v>
      </c>
      <c r="G136" s="433">
        <v>-765</v>
      </c>
      <c r="H136" s="719">
        <v>-877</v>
      </c>
      <c r="I136" s="85"/>
      <c r="J136" s="420"/>
      <c r="K136" s="730"/>
      <c r="L136" s="395"/>
      <c r="M136" s="815"/>
      <c r="O136" s="815"/>
    </row>
    <row r="137" spans="2:15" ht="12.75" customHeight="1" x14ac:dyDescent="0.2">
      <c r="C137" s="832" t="s">
        <v>57</v>
      </c>
      <c r="D137" s="833"/>
      <c r="E137" s="433">
        <v>-560</v>
      </c>
      <c r="F137" s="433">
        <v>-573</v>
      </c>
      <c r="G137" s="433">
        <v>-866</v>
      </c>
      <c r="H137" s="719">
        <v>-813</v>
      </c>
      <c r="I137" s="85"/>
      <c r="J137" s="420"/>
      <c r="K137" s="730"/>
      <c r="L137" s="395"/>
      <c r="M137" s="815"/>
      <c r="O137" s="815"/>
    </row>
    <row r="138" spans="2:15" ht="12.75" customHeight="1" x14ac:dyDescent="0.2">
      <c r="B138" s="79"/>
      <c r="C138" s="80" t="s">
        <v>58</v>
      </c>
      <c r="D138" s="81"/>
      <c r="E138" s="440">
        <v>585</v>
      </c>
      <c r="F138" s="440">
        <v>626</v>
      </c>
      <c r="G138" s="440">
        <v>702</v>
      </c>
      <c r="H138" s="722">
        <v>716</v>
      </c>
      <c r="I138" s="86"/>
      <c r="J138" s="421">
        <v>-3.9</v>
      </c>
      <c r="K138" s="731">
        <v>-15.4</v>
      </c>
      <c r="L138" s="395"/>
      <c r="M138" s="815"/>
      <c r="O138" s="815"/>
    </row>
    <row r="139" spans="2:15" ht="12.75" customHeight="1" x14ac:dyDescent="0.2">
      <c r="B139" s="79"/>
      <c r="C139" s="465" t="s">
        <v>59</v>
      </c>
      <c r="D139" s="81"/>
      <c r="E139" s="433"/>
      <c r="F139" s="433"/>
      <c r="G139" s="433"/>
      <c r="H139" s="719"/>
      <c r="I139" s="86"/>
      <c r="J139" s="420"/>
      <c r="K139" s="730"/>
      <c r="L139" s="395"/>
      <c r="M139" s="815"/>
      <c r="O139" s="815"/>
    </row>
    <row r="140" spans="2:15" ht="12.75" customHeight="1" x14ac:dyDescent="0.2">
      <c r="C140" s="83" t="s">
        <v>60</v>
      </c>
      <c r="D140" s="75"/>
      <c r="E140" s="433">
        <v>0</v>
      </c>
      <c r="F140" s="433">
        <v>0</v>
      </c>
      <c r="G140" s="433">
        <v>0</v>
      </c>
      <c r="H140" s="719">
        <v>0</v>
      </c>
      <c r="I140" s="85"/>
      <c r="J140" s="420"/>
      <c r="K140" s="730"/>
      <c r="L140" s="395"/>
      <c r="M140" s="815"/>
      <c r="O140" s="815"/>
    </row>
    <row r="141" spans="2:15" ht="12.75" customHeight="1" x14ac:dyDescent="0.2">
      <c r="C141" s="83" t="s">
        <v>61</v>
      </c>
      <c r="D141" s="75"/>
      <c r="E141" s="433">
        <v>-166</v>
      </c>
      <c r="F141" s="433">
        <v>-165</v>
      </c>
      <c r="G141" s="433">
        <v>-170</v>
      </c>
      <c r="H141" s="719">
        <v>-187</v>
      </c>
      <c r="I141" s="85"/>
      <c r="J141" s="420"/>
      <c r="K141" s="730"/>
      <c r="L141" s="395"/>
      <c r="M141" s="815"/>
      <c r="O141" s="815"/>
    </row>
    <row r="142" spans="2:15" ht="12.75" customHeight="1" x14ac:dyDescent="0.2">
      <c r="C142" s="83" t="s">
        <v>62</v>
      </c>
      <c r="D142" s="75"/>
      <c r="E142" s="433">
        <v>-288</v>
      </c>
      <c r="F142" s="433">
        <v>-288</v>
      </c>
      <c r="G142" s="433">
        <v>-432</v>
      </c>
      <c r="H142" s="719">
        <v>-427</v>
      </c>
      <c r="I142" s="85"/>
      <c r="J142" s="420"/>
      <c r="K142" s="730"/>
      <c r="L142" s="395"/>
      <c r="M142" s="815"/>
      <c r="O142" s="815"/>
    </row>
    <row r="143" spans="2:15" ht="12.75" customHeight="1" x14ac:dyDescent="0.2">
      <c r="C143" s="465" t="s">
        <v>259</v>
      </c>
      <c r="D143" s="75"/>
      <c r="E143" s="84">
        <v>0</v>
      </c>
      <c r="F143" s="84">
        <v>0</v>
      </c>
      <c r="G143" s="84">
        <v>-6</v>
      </c>
      <c r="H143" s="719">
        <v>-9</v>
      </c>
      <c r="I143" s="85"/>
      <c r="J143" s="420"/>
      <c r="K143" s="730"/>
      <c r="L143" s="395"/>
      <c r="M143" s="815"/>
      <c r="O143" s="815"/>
    </row>
    <row r="144" spans="2:15" ht="12.75" customHeight="1" thickBot="1" x14ac:dyDescent="0.25">
      <c r="B144" s="79"/>
      <c r="C144" s="80" t="s">
        <v>64</v>
      </c>
      <c r="D144" s="81"/>
      <c r="E144" s="437">
        <v>131</v>
      </c>
      <c r="F144" s="437">
        <v>172</v>
      </c>
      <c r="G144" s="437">
        <f>SUM(G138:G143)</f>
        <v>94</v>
      </c>
      <c r="H144" s="724">
        <v>93</v>
      </c>
      <c r="I144" s="86"/>
      <c r="J144" s="421">
        <v>-21.9</v>
      </c>
      <c r="K144" s="731">
        <v>-71.3</v>
      </c>
      <c r="L144" s="395"/>
      <c r="M144" s="815"/>
      <c r="O144" s="815"/>
    </row>
    <row r="145" spans="2:15" ht="12.75" customHeight="1" thickTop="1" x14ac:dyDescent="0.2">
      <c r="C145" s="366"/>
      <c r="D145" s="75"/>
      <c r="E145" s="438"/>
      <c r="F145" s="438"/>
      <c r="G145" s="438"/>
      <c r="H145" s="725"/>
      <c r="I145" s="90"/>
      <c r="J145" s="420"/>
      <c r="K145" s="730"/>
      <c r="L145" s="395"/>
      <c r="M145" s="815"/>
      <c r="O145" s="815"/>
    </row>
    <row r="146" spans="2:15" ht="12.75" customHeight="1" x14ac:dyDescent="0.2">
      <c r="B146" s="79"/>
      <c r="C146" s="80" t="s">
        <v>65</v>
      </c>
      <c r="D146" s="81"/>
      <c r="E146" s="91">
        <v>0.22600000000000001</v>
      </c>
      <c r="F146" s="91">
        <v>0.245</v>
      </c>
      <c r="G146" s="91">
        <f>ROUND(G138/G134,3)</f>
        <v>0.218</v>
      </c>
      <c r="H146" s="723">
        <v>0.224</v>
      </c>
      <c r="I146" s="91"/>
      <c r="J146" s="421"/>
      <c r="K146" s="731"/>
      <c r="L146" s="395"/>
      <c r="M146" s="815"/>
      <c r="O146" s="815"/>
    </row>
    <row r="147" spans="2:15" ht="12.75" customHeight="1" x14ac:dyDescent="0.2">
      <c r="C147" s="83" t="s">
        <v>66</v>
      </c>
      <c r="D147" s="75"/>
      <c r="E147" s="433">
        <v>231</v>
      </c>
      <c r="F147" s="433">
        <v>370</v>
      </c>
      <c r="G147" s="433">
        <v>351</v>
      </c>
      <c r="H147" s="719">
        <v>581</v>
      </c>
      <c r="I147" s="85"/>
      <c r="J147" s="420"/>
      <c r="K147" s="730"/>
      <c r="L147" s="395"/>
      <c r="M147" s="815"/>
      <c r="O147" s="815"/>
    </row>
    <row r="148" spans="2:15" ht="12.75" customHeight="1" x14ac:dyDescent="0.2">
      <c r="C148" s="83"/>
      <c r="D148" s="75"/>
      <c r="E148" s="433"/>
      <c r="F148" s="433"/>
      <c r="G148" s="433"/>
      <c r="H148" s="719"/>
      <c r="I148" s="428"/>
      <c r="J148" s="420"/>
      <c r="K148" s="730"/>
      <c r="L148" s="395"/>
      <c r="M148" s="815"/>
      <c r="O148" s="815"/>
    </row>
    <row r="149" spans="2:15" ht="12.75" customHeight="1" x14ac:dyDescent="0.2">
      <c r="B149" s="834" t="s">
        <v>36</v>
      </c>
      <c r="C149" s="821"/>
      <c r="D149" s="75"/>
      <c r="E149" s="433"/>
      <c r="F149" s="433"/>
      <c r="G149" s="433"/>
      <c r="H149" s="719"/>
      <c r="I149" s="85"/>
      <c r="J149" s="420"/>
      <c r="K149" s="730"/>
      <c r="L149" s="395"/>
      <c r="M149" s="815"/>
      <c r="O149" s="815"/>
    </row>
    <row r="150" spans="2:15" ht="12.75" customHeight="1" x14ac:dyDescent="0.25">
      <c r="C150" s="465" t="s">
        <v>19</v>
      </c>
      <c r="D150" s="75"/>
      <c r="E150" s="432"/>
      <c r="F150" s="432"/>
      <c r="G150" s="432"/>
      <c r="H150" s="719"/>
      <c r="I150" s="85"/>
      <c r="J150" s="420"/>
      <c r="K150" s="730"/>
      <c r="L150" s="395"/>
      <c r="M150" s="815"/>
      <c r="O150" s="815"/>
    </row>
    <row r="151" spans="2:15" ht="12.75" customHeight="1" x14ac:dyDescent="0.2">
      <c r="C151" s="78" t="s">
        <v>20</v>
      </c>
      <c r="D151" s="75"/>
      <c r="E151" s="433">
        <v>886</v>
      </c>
      <c r="F151" s="433">
        <v>931</v>
      </c>
      <c r="G151" s="433">
        <v>957</v>
      </c>
      <c r="H151" s="719">
        <v>897</v>
      </c>
      <c r="I151" s="85"/>
      <c r="J151" s="420"/>
      <c r="K151" s="730"/>
      <c r="L151" s="395"/>
      <c r="M151" s="815"/>
      <c r="O151" s="815"/>
    </row>
    <row r="152" spans="2:15" ht="12.75" customHeight="1" x14ac:dyDescent="0.2">
      <c r="C152" s="78" t="s">
        <v>21</v>
      </c>
      <c r="D152" s="75"/>
      <c r="E152" s="84">
        <v>15</v>
      </c>
      <c r="F152" s="84">
        <v>19</v>
      </c>
      <c r="G152" s="84">
        <v>26</v>
      </c>
      <c r="H152" s="720">
        <v>28</v>
      </c>
      <c r="I152" s="85"/>
      <c r="J152" s="420"/>
      <c r="K152" s="730"/>
      <c r="L152" s="395"/>
      <c r="M152" s="815"/>
      <c r="O152" s="815"/>
    </row>
    <row r="153" spans="2:15" ht="12.75" customHeight="1" x14ac:dyDescent="0.2">
      <c r="C153" s="78" t="s">
        <v>22</v>
      </c>
      <c r="D153" s="75"/>
      <c r="E153" s="433">
        <v>901</v>
      </c>
      <c r="F153" s="433">
        <v>950</v>
      </c>
      <c r="G153" s="433">
        <v>983</v>
      </c>
      <c r="H153" s="719">
        <v>925</v>
      </c>
      <c r="I153" s="85"/>
      <c r="J153" s="420"/>
      <c r="K153" s="730"/>
      <c r="L153" s="395"/>
      <c r="M153" s="815"/>
      <c r="O153" s="815"/>
    </row>
    <row r="154" spans="2:15" ht="12.75" customHeight="1" x14ac:dyDescent="0.2">
      <c r="C154" s="465" t="s">
        <v>52</v>
      </c>
      <c r="D154" s="75"/>
      <c r="E154" s="433"/>
      <c r="F154" s="433"/>
      <c r="G154" s="433"/>
      <c r="H154" s="719"/>
      <c r="I154" s="85"/>
      <c r="J154" s="420"/>
      <c r="K154" s="730"/>
      <c r="L154" s="395"/>
      <c r="M154" s="815"/>
      <c r="O154" s="815"/>
    </row>
    <row r="155" spans="2:15" ht="12.75" customHeight="1" x14ac:dyDescent="0.2">
      <c r="C155" s="78" t="s">
        <v>20</v>
      </c>
      <c r="D155" s="75"/>
      <c r="E155" s="433">
        <v>413</v>
      </c>
      <c r="F155" s="433">
        <v>333</v>
      </c>
      <c r="G155" s="433">
        <v>274</v>
      </c>
      <c r="H155" s="719">
        <v>250</v>
      </c>
      <c r="I155" s="85"/>
      <c r="J155" s="420"/>
      <c r="K155" s="730"/>
      <c r="L155" s="395"/>
      <c r="M155" s="815"/>
      <c r="O155" s="815"/>
    </row>
    <row r="156" spans="2:15" ht="12.75" customHeight="1" x14ac:dyDescent="0.2">
      <c r="C156" s="78" t="s">
        <v>21</v>
      </c>
      <c r="D156" s="75"/>
      <c r="E156" s="84">
        <v>131</v>
      </c>
      <c r="F156" s="84">
        <v>104</v>
      </c>
      <c r="G156" s="84">
        <v>88</v>
      </c>
      <c r="H156" s="720">
        <v>67</v>
      </c>
      <c r="I156" s="85"/>
      <c r="J156" s="420"/>
      <c r="K156" s="730"/>
      <c r="L156" s="395"/>
      <c r="M156" s="815"/>
      <c r="O156" s="815"/>
    </row>
    <row r="157" spans="2:15" ht="12.75" customHeight="1" x14ac:dyDescent="0.2">
      <c r="C157" s="78" t="s">
        <v>22</v>
      </c>
      <c r="D157" s="75"/>
      <c r="E157" s="433">
        <v>544</v>
      </c>
      <c r="F157" s="433">
        <v>437</v>
      </c>
      <c r="G157" s="433">
        <v>362</v>
      </c>
      <c r="H157" s="719">
        <v>317</v>
      </c>
      <c r="I157" s="85"/>
      <c r="J157" s="420"/>
      <c r="K157" s="730"/>
      <c r="L157" s="395"/>
      <c r="M157" s="815"/>
      <c r="O157" s="815"/>
    </row>
    <row r="158" spans="2:15" ht="12.75" customHeight="1" x14ac:dyDescent="0.2">
      <c r="C158" s="465" t="s">
        <v>24</v>
      </c>
      <c r="D158" s="75"/>
      <c r="E158" s="433">
        <v>148</v>
      </c>
      <c r="F158" s="433">
        <v>126</v>
      </c>
      <c r="G158" s="433">
        <v>87</v>
      </c>
      <c r="H158" s="719">
        <v>54</v>
      </c>
      <c r="I158" s="85"/>
      <c r="J158" s="420"/>
      <c r="K158" s="730"/>
      <c r="L158" s="395"/>
      <c r="M158" s="815"/>
      <c r="O158" s="815"/>
    </row>
    <row r="159" spans="2:15" ht="12.75" customHeight="1" x14ac:dyDescent="0.2">
      <c r="C159" s="465" t="s">
        <v>53</v>
      </c>
      <c r="D159" s="75"/>
      <c r="E159" s="433">
        <v>160</v>
      </c>
      <c r="F159" s="433">
        <v>155</v>
      </c>
      <c r="G159" s="433">
        <v>161</v>
      </c>
      <c r="H159" s="719">
        <v>164</v>
      </c>
      <c r="I159" s="85"/>
      <c r="J159" s="420"/>
      <c r="K159" s="730"/>
      <c r="L159" s="395"/>
      <c r="M159" s="815"/>
      <c r="O159" s="815"/>
    </row>
    <row r="160" spans="2:15" ht="12.75" customHeight="1" x14ac:dyDescent="0.2">
      <c r="C160" s="465" t="s">
        <v>26</v>
      </c>
      <c r="D160" s="75"/>
      <c r="E160" s="84">
        <v>105</v>
      </c>
      <c r="F160" s="84">
        <v>103</v>
      </c>
      <c r="G160" s="84">
        <v>101</v>
      </c>
      <c r="H160" s="720">
        <v>76</v>
      </c>
      <c r="I160" s="85"/>
      <c r="J160" s="420"/>
      <c r="K160" s="730"/>
      <c r="L160" s="395"/>
      <c r="M160" s="815"/>
      <c r="O160" s="815"/>
    </row>
    <row r="161" spans="2:15" ht="12.75" customHeight="1" x14ac:dyDescent="0.2">
      <c r="B161" s="79"/>
      <c r="C161" s="80" t="s">
        <v>28</v>
      </c>
      <c r="D161" s="81"/>
      <c r="E161" s="434">
        <v>1858</v>
      </c>
      <c r="F161" s="434">
        <v>1771</v>
      </c>
      <c r="G161" s="434">
        <v>1694</v>
      </c>
      <c r="H161" s="721">
        <v>1536</v>
      </c>
      <c r="I161" s="86"/>
      <c r="J161" s="421">
        <v>-13.4</v>
      </c>
      <c r="K161" s="731">
        <v>-13.3</v>
      </c>
      <c r="L161" s="395"/>
      <c r="M161" s="815"/>
      <c r="O161" s="815"/>
    </row>
    <row r="162" spans="2:15" ht="12.75" customHeight="1" x14ac:dyDescent="0.2">
      <c r="C162" s="465" t="s">
        <v>54</v>
      </c>
      <c r="D162" s="75"/>
      <c r="E162" s="84">
        <v>109</v>
      </c>
      <c r="F162" s="84">
        <v>166</v>
      </c>
      <c r="G162" s="84">
        <v>145</v>
      </c>
      <c r="H162" s="720">
        <v>143</v>
      </c>
      <c r="I162" s="85"/>
      <c r="J162" s="420"/>
      <c r="K162" s="730"/>
      <c r="L162" s="395"/>
      <c r="M162" s="815"/>
      <c r="O162" s="815"/>
    </row>
    <row r="163" spans="2:15" ht="12.75" customHeight="1" x14ac:dyDescent="0.2">
      <c r="B163" s="79"/>
      <c r="C163" s="80" t="s">
        <v>18</v>
      </c>
      <c r="D163" s="81"/>
      <c r="E163" s="434">
        <v>1967</v>
      </c>
      <c r="F163" s="434">
        <v>1937</v>
      </c>
      <c r="G163" s="434">
        <v>1839</v>
      </c>
      <c r="H163" s="721">
        <v>1679</v>
      </c>
      <c r="I163" s="86"/>
      <c r="J163" s="421">
        <v>-11.2</v>
      </c>
      <c r="K163" s="731">
        <v>-13.5</v>
      </c>
      <c r="L163" s="395"/>
      <c r="M163" s="815"/>
      <c r="O163" s="815"/>
    </row>
    <row r="164" spans="2:15" ht="12.75" customHeight="1" x14ac:dyDescent="0.2">
      <c r="C164" s="465" t="s">
        <v>55</v>
      </c>
      <c r="D164" s="75"/>
      <c r="E164" s="433">
        <v>-429</v>
      </c>
      <c r="F164" s="433">
        <v>-387</v>
      </c>
      <c r="G164" s="433">
        <v>-384</v>
      </c>
      <c r="H164" s="719">
        <v>-331</v>
      </c>
      <c r="I164" s="85"/>
      <c r="J164" s="420"/>
      <c r="K164" s="730"/>
      <c r="L164" s="395"/>
      <c r="M164" s="815"/>
      <c r="O164" s="815"/>
    </row>
    <row r="165" spans="2:15" ht="12.75" customHeight="1" x14ac:dyDescent="0.2">
      <c r="C165" s="832" t="s">
        <v>56</v>
      </c>
      <c r="D165" s="833"/>
      <c r="E165" s="433">
        <v>-555</v>
      </c>
      <c r="F165" s="433">
        <v>-640</v>
      </c>
      <c r="G165" s="433">
        <v>-602</v>
      </c>
      <c r="H165" s="719">
        <v>-595</v>
      </c>
      <c r="I165" s="85"/>
      <c r="J165" s="420"/>
      <c r="K165" s="730"/>
      <c r="L165" s="395"/>
      <c r="M165" s="815"/>
      <c r="O165" s="815"/>
    </row>
    <row r="166" spans="2:15" ht="12.75" customHeight="1" x14ac:dyDescent="0.2">
      <c r="C166" s="832" t="s">
        <v>57</v>
      </c>
      <c r="D166" s="833"/>
      <c r="E166" s="433">
        <v>-448</v>
      </c>
      <c r="F166" s="433">
        <v>-424</v>
      </c>
      <c r="G166" s="433">
        <v>-431</v>
      </c>
      <c r="H166" s="719">
        <v>-388</v>
      </c>
      <c r="I166" s="85"/>
      <c r="J166" s="420"/>
      <c r="K166" s="730"/>
      <c r="L166" s="395"/>
      <c r="M166" s="815"/>
      <c r="O166" s="815"/>
    </row>
    <row r="167" spans="2:15" ht="12.75" customHeight="1" x14ac:dyDescent="0.2">
      <c r="B167" s="79"/>
      <c r="C167" s="80" t="s">
        <v>58</v>
      </c>
      <c r="D167" s="81"/>
      <c r="E167" s="440">
        <v>535</v>
      </c>
      <c r="F167" s="440">
        <v>486</v>
      </c>
      <c r="G167" s="440">
        <v>422</v>
      </c>
      <c r="H167" s="722">
        <v>365</v>
      </c>
      <c r="I167" s="86"/>
      <c r="J167" s="421">
        <v>-23.7</v>
      </c>
      <c r="K167" s="731">
        <v>-24.1</v>
      </c>
      <c r="L167" s="395"/>
      <c r="M167" s="815"/>
      <c r="O167" s="815"/>
    </row>
    <row r="168" spans="2:15" ht="12.75" customHeight="1" x14ac:dyDescent="0.2">
      <c r="B168" s="79"/>
      <c r="C168" s="465" t="s">
        <v>59</v>
      </c>
      <c r="D168" s="81"/>
      <c r="E168" s="433"/>
      <c r="F168" s="433"/>
      <c r="G168" s="433"/>
      <c r="H168" s="719"/>
      <c r="I168" s="86"/>
      <c r="J168" s="420"/>
      <c r="K168" s="730"/>
      <c r="L168" s="395"/>
      <c r="M168" s="815"/>
      <c r="O168" s="815"/>
    </row>
    <row r="169" spans="2:15" ht="12.75" customHeight="1" x14ac:dyDescent="0.2">
      <c r="C169" s="83" t="s">
        <v>60</v>
      </c>
      <c r="D169" s="75"/>
      <c r="E169" s="433">
        <v>0</v>
      </c>
      <c r="F169" s="433">
        <v>0</v>
      </c>
      <c r="G169" s="433">
        <v>0</v>
      </c>
      <c r="H169" s="719">
        <v>0</v>
      </c>
      <c r="I169" s="85"/>
      <c r="J169" s="420"/>
      <c r="K169" s="730"/>
      <c r="L169" s="395"/>
      <c r="M169" s="815"/>
      <c r="O169" s="815"/>
    </row>
    <row r="170" spans="2:15" ht="12.75" customHeight="1" x14ac:dyDescent="0.2">
      <c r="C170" s="83" t="s">
        <v>61</v>
      </c>
      <c r="D170" s="75"/>
      <c r="E170" s="433">
        <v>-5</v>
      </c>
      <c r="F170" s="433">
        <v>-5</v>
      </c>
      <c r="G170" s="433">
        <v>-5</v>
      </c>
      <c r="H170" s="719">
        <v>-6</v>
      </c>
      <c r="I170" s="85"/>
      <c r="J170" s="420"/>
      <c r="K170" s="730"/>
      <c r="L170" s="395"/>
      <c r="M170" s="815"/>
      <c r="O170" s="815"/>
    </row>
    <row r="171" spans="2:15" ht="12.75" customHeight="1" x14ac:dyDescent="0.2">
      <c r="C171" s="83" t="s">
        <v>62</v>
      </c>
      <c r="D171" s="75"/>
      <c r="E171" s="433">
        <v>-283</v>
      </c>
      <c r="F171" s="433">
        <v>-307</v>
      </c>
      <c r="G171" s="433">
        <v>-303</v>
      </c>
      <c r="H171" s="719">
        <v>-292</v>
      </c>
      <c r="I171" s="85"/>
      <c r="J171" s="420"/>
      <c r="K171" s="730"/>
      <c r="L171" s="395"/>
      <c r="M171" s="815"/>
      <c r="O171" s="815"/>
    </row>
    <row r="172" spans="2:15" ht="12.75" customHeight="1" x14ac:dyDescent="0.2">
      <c r="C172" s="465" t="s">
        <v>259</v>
      </c>
      <c r="D172" s="75"/>
      <c r="E172" s="433">
        <v>0</v>
      </c>
      <c r="F172" s="84">
        <v>0</v>
      </c>
      <c r="G172" s="433">
        <v>0</v>
      </c>
      <c r="H172" s="719">
        <v>0</v>
      </c>
      <c r="I172" s="85"/>
      <c r="J172" s="420"/>
      <c r="K172" s="730"/>
      <c r="L172" s="395"/>
      <c r="M172" s="815"/>
      <c r="O172" s="815"/>
    </row>
    <row r="173" spans="2:15" ht="12.75" customHeight="1" thickBot="1" x14ac:dyDescent="0.25">
      <c r="B173" s="79"/>
      <c r="C173" s="80" t="s">
        <v>64</v>
      </c>
      <c r="D173" s="81"/>
      <c r="E173" s="437">
        <v>247</v>
      </c>
      <c r="F173" s="437">
        <v>174</v>
      </c>
      <c r="G173" s="437">
        <v>114</v>
      </c>
      <c r="H173" s="724">
        <v>67</v>
      </c>
      <c r="I173" s="86"/>
      <c r="J173" s="421">
        <v>-53.8</v>
      </c>
      <c r="K173" s="731">
        <v>-60.3</v>
      </c>
      <c r="L173" s="395"/>
      <c r="M173" s="815"/>
      <c r="O173" s="815"/>
    </row>
    <row r="174" spans="2:15" ht="12.75" customHeight="1" thickTop="1" x14ac:dyDescent="0.2">
      <c r="C174" s="366"/>
      <c r="D174" s="75"/>
      <c r="E174" s="433"/>
      <c r="F174" s="433"/>
      <c r="G174" s="433"/>
      <c r="H174" s="719"/>
      <c r="I174" s="85"/>
      <c r="J174" s="420"/>
      <c r="K174" s="730"/>
      <c r="L174" s="395"/>
      <c r="M174" s="815"/>
      <c r="O174" s="815"/>
    </row>
    <row r="175" spans="2:15" ht="12.75" customHeight="1" x14ac:dyDescent="0.2">
      <c r="B175" s="79"/>
      <c r="C175" s="80" t="s">
        <v>65</v>
      </c>
      <c r="D175" s="81"/>
      <c r="E175" s="91">
        <v>0.27200000000000002</v>
      </c>
      <c r="F175" s="91">
        <v>0.251</v>
      </c>
      <c r="G175" s="91">
        <f>ROUND(G167/G163,3)</f>
        <v>0.22900000000000001</v>
      </c>
      <c r="H175" s="723">
        <v>0.217</v>
      </c>
      <c r="I175" s="91"/>
      <c r="J175" s="421"/>
      <c r="K175" s="731"/>
      <c r="L175" s="395"/>
      <c r="M175" s="815"/>
      <c r="O175" s="815"/>
    </row>
    <row r="176" spans="2:15" ht="12.75" customHeight="1" x14ac:dyDescent="0.2">
      <c r="C176" s="83" t="s">
        <v>66</v>
      </c>
      <c r="D176" s="75"/>
      <c r="E176" s="433">
        <v>152</v>
      </c>
      <c r="F176" s="433">
        <v>225</v>
      </c>
      <c r="G176" s="433">
        <v>164</v>
      </c>
      <c r="H176" s="719">
        <v>347</v>
      </c>
      <c r="I176" s="85"/>
      <c r="J176" s="420"/>
      <c r="K176" s="730"/>
      <c r="L176" s="395"/>
      <c r="M176" s="815"/>
      <c r="O176" s="815"/>
    </row>
    <row r="177" spans="2:15" ht="12.75" customHeight="1" x14ac:dyDescent="0.2">
      <c r="C177" s="83"/>
      <c r="D177" s="75"/>
      <c r="E177" s="433"/>
      <c r="F177" s="433"/>
      <c r="G177" s="433"/>
      <c r="H177" s="719"/>
      <c r="I177" s="85"/>
      <c r="J177" s="420"/>
      <c r="K177" s="730"/>
      <c r="M177" s="815"/>
      <c r="O177" s="815"/>
    </row>
    <row r="178" spans="2:15" ht="12.75" customHeight="1" x14ac:dyDescent="0.2">
      <c r="B178" s="834" t="s">
        <v>297</v>
      </c>
      <c r="C178" s="821"/>
      <c r="D178" s="75"/>
      <c r="E178" s="441"/>
      <c r="F178" s="441"/>
      <c r="G178" s="441"/>
      <c r="H178" s="726"/>
      <c r="I178" s="428"/>
      <c r="J178" s="420"/>
      <c r="K178" s="730"/>
      <c r="M178" s="815"/>
      <c r="O178" s="815"/>
    </row>
    <row r="179" spans="2:15" ht="12.75" customHeight="1" x14ac:dyDescent="0.25">
      <c r="C179" s="465" t="s">
        <v>19</v>
      </c>
      <c r="D179" s="75"/>
      <c r="E179" s="432"/>
      <c r="F179" s="432"/>
      <c r="G179" s="432"/>
      <c r="H179" s="719"/>
      <c r="I179" s="85"/>
      <c r="J179" s="420"/>
      <c r="K179" s="730"/>
      <c r="M179" s="815"/>
      <c r="O179" s="815"/>
    </row>
    <row r="180" spans="2:15" ht="12.75" customHeight="1" x14ac:dyDescent="0.2">
      <c r="C180" s="78" t="s">
        <v>20</v>
      </c>
      <c r="D180" s="75"/>
      <c r="E180" s="433">
        <v>1011</v>
      </c>
      <c r="F180" s="433">
        <v>1065</v>
      </c>
      <c r="G180" s="433">
        <v>1097</v>
      </c>
      <c r="H180" s="719">
        <v>1093</v>
      </c>
      <c r="I180" s="85"/>
      <c r="J180" s="420"/>
      <c r="K180" s="730"/>
      <c r="M180" s="815"/>
      <c r="O180" s="815"/>
    </row>
    <row r="181" spans="2:15" ht="12.75" customHeight="1" x14ac:dyDescent="0.2">
      <c r="C181" s="78" t="s">
        <v>21</v>
      </c>
      <c r="D181" s="75"/>
      <c r="E181" s="84">
        <v>158</v>
      </c>
      <c r="F181" s="84">
        <v>163</v>
      </c>
      <c r="G181" s="84">
        <v>170</v>
      </c>
      <c r="H181" s="720">
        <v>160</v>
      </c>
      <c r="I181" s="85"/>
      <c r="J181" s="420"/>
      <c r="K181" s="730"/>
      <c r="M181" s="815"/>
      <c r="O181" s="815"/>
    </row>
    <row r="182" spans="2:15" ht="12.75" customHeight="1" x14ac:dyDescent="0.2">
      <c r="C182" s="78" t="s">
        <v>22</v>
      </c>
      <c r="D182" s="75"/>
      <c r="E182" s="433">
        <v>1169</v>
      </c>
      <c r="F182" s="433">
        <v>1228</v>
      </c>
      <c r="G182" s="433">
        <v>1267</v>
      </c>
      <c r="H182" s="719">
        <v>1253</v>
      </c>
      <c r="I182" s="85"/>
      <c r="J182" s="420"/>
      <c r="K182" s="730"/>
      <c r="M182" s="815"/>
      <c r="O182" s="815"/>
    </row>
    <row r="183" spans="2:15" ht="12.75" customHeight="1" x14ac:dyDescent="0.2">
      <c r="C183" s="465" t="s">
        <v>52</v>
      </c>
      <c r="D183" s="75"/>
      <c r="E183" s="433"/>
      <c r="F183" s="433"/>
      <c r="G183" s="433"/>
      <c r="H183" s="719"/>
      <c r="I183" s="85"/>
      <c r="J183" s="420"/>
      <c r="K183" s="730"/>
      <c r="M183" s="815"/>
      <c r="O183" s="815"/>
    </row>
    <row r="184" spans="2:15" ht="12.75" customHeight="1" x14ac:dyDescent="0.2">
      <c r="C184" s="78" t="s">
        <v>20</v>
      </c>
      <c r="D184" s="75"/>
      <c r="E184" s="433">
        <v>549</v>
      </c>
      <c r="F184" s="433">
        <v>499</v>
      </c>
      <c r="G184" s="433">
        <v>487</v>
      </c>
      <c r="H184" s="719">
        <v>416</v>
      </c>
      <c r="I184" s="85"/>
      <c r="J184" s="420"/>
      <c r="K184" s="730"/>
      <c r="M184" s="815"/>
      <c r="O184" s="815"/>
    </row>
    <row r="185" spans="2:15" ht="12.75" customHeight="1" x14ac:dyDescent="0.2">
      <c r="C185" s="78" t="s">
        <v>21</v>
      </c>
      <c r="D185" s="75"/>
      <c r="E185" s="84">
        <v>403</v>
      </c>
      <c r="F185" s="84">
        <v>379</v>
      </c>
      <c r="G185" s="84">
        <v>361</v>
      </c>
      <c r="H185" s="720">
        <v>300</v>
      </c>
      <c r="I185" s="85"/>
      <c r="J185" s="420"/>
      <c r="K185" s="730"/>
      <c r="M185" s="815"/>
      <c r="O185" s="815"/>
    </row>
    <row r="186" spans="2:15" ht="12.75" customHeight="1" x14ac:dyDescent="0.2">
      <c r="C186" s="78" t="s">
        <v>22</v>
      </c>
      <c r="D186" s="75"/>
      <c r="E186" s="433">
        <v>952</v>
      </c>
      <c r="F186" s="433">
        <v>878</v>
      </c>
      <c r="G186" s="433">
        <v>848</v>
      </c>
      <c r="H186" s="719">
        <v>716</v>
      </c>
      <c r="I186" s="85"/>
      <c r="J186" s="420"/>
      <c r="K186" s="730"/>
      <c r="M186" s="815"/>
      <c r="O186" s="815"/>
    </row>
    <row r="187" spans="2:15" ht="12.75" customHeight="1" x14ac:dyDescent="0.2">
      <c r="C187" s="465" t="s">
        <v>24</v>
      </c>
      <c r="D187" s="75"/>
      <c r="E187" s="433">
        <v>342</v>
      </c>
      <c r="F187" s="433">
        <v>267</v>
      </c>
      <c r="G187" s="433">
        <v>241</v>
      </c>
      <c r="H187" s="719">
        <v>230</v>
      </c>
      <c r="I187" s="85"/>
      <c r="J187" s="420"/>
      <c r="K187" s="730"/>
      <c r="M187" s="815"/>
      <c r="O187" s="815"/>
    </row>
    <row r="188" spans="2:15" ht="12.75" customHeight="1" x14ac:dyDescent="0.2">
      <c r="C188" s="465" t="s">
        <v>53</v>
      </c>
      <c r="D188" s="75"/>
      <c r="E188" s="433">
        <v>432</v>
      </c>
      <c r="F188" s="433">
        <v>1105</v>
      </c>
      <c r="G188" s="433">
        <v>158</v>
      </c>
      <c r="H188" s="719">
        <v>179</v>
      </c>
      <c r="I188" s="85"/>
      <c r="J188" s="420"/>
      <c r="K188" s="730"/>
      <c r="M188" s="815"/>
      <c r="O188" s="815"/>
    </row>
    <row r="189" spans="2:15" ht="12.75" customHeight="1" x14ac:dyDescent="0.2">
      <c r="C189" s="465" t="s">
        <v>26</v>
      </c>
      <c r="D189" s="75"/>
      <c r="E189" s="84">
        <v>127</v>
      </c>
      <c r="F189" s="84">
        <v>111</v>
      </c>
      <c r="G189" s="84">
        <v>121</v>
      </c>
      <c r="H189" s="720">
        <v>91</v>
      </c>
      <c r="I189" s="85"/>
      <c r="J189" s="420"/>
      <c r="K189" s="730"/>
      <c r="M189" s="815"/>
      <c r="O189" s="815"/>
    </row>
    <row r="190" spans="2:15" ht="12.75" customHeight="1" x14ac:dyDescent="0.2">
      <c r="B190" s="79"/>
      <c r="C190" s="80" t="s">
        <v>28</v>
      </c>
      <c r="D190" s="81"/>
      <c r="E190" s="434">
        <v>3022</v>
      </c>
      <c r="F190" s="434">
        <v>3589</v>
      </c>
      <c r="G190" s="434">
        <v>2635</v>
      </c>
      <c r="H190" s="721">
        <v>2469</v>
      </c>
      <c r="I190" s="86"/>
      <c r="J190" s="421">
        <v>-8.1999999999999993</v>
      </c>
      <c r="K190" s="731">
        <v>-5.9</v>
      </c>
      <c r="M190" s="815"/>
      <c r="O190" s="815"/>
    </row>
    <row r="191" spans="2:15" s="82" customFormat="1" ht="12.75" customHeight="1" x14ac:dyDescent="0.2">
      <c r="B191" s="366"/>
      <c r="C191" s="465" t="s">
        <v>54</v>
      </c>
      <c r="D191" s="75"/>
      <c r="E191" s="84">
        <v>243</v>
      </c>
      <c r="F191" s="84">
        <v>262</v>
      </c>
      <c r="G191" s="84">
        <v>209</v>
      </c>
      <c r="H191" s="720">
        <v>212</v>
      </c>
      <c r="I191" s="85"/>
      <c r="J191" s="420"/>
      <c r="K191" s="730"/>
      <c r="L191" s="45"/>
      <c r="M191" s="815"/>
      <c r="N191" s="395"/>
      <c r="O191" s="815"/>
    </row>
    <row r="192" spans="2:15" ht="12.75" customHeight="1" x14ac:dyDescent="0.2">
      <c r="B192" s="79"/>
      <c r="C192" s="80" t="s">
        <v>18</v>
      </c>
      <c r="D192" s="81"/>
      <c r="E192" s="434">
        <v>3265</v>
      </c>
      <c r="F192" s="434">
        <v>3851</v>
      </c>
      <c r="G192" s="434">
        <v>2844</v>
      </c>
      <c r="H192" s="721">
        <v>2681</v>
      </c>
      <c r="I192" s="86"/>
      <c r="J192" s="421">
        <v>-9.3000000000000007</v>
      </c>
      <c r="K192" s="731">
        <v>-7</v>
      </c>
      <c r="M192" s="815"/>
      <c r="O192" s="815"/>
    </row>
    <row r="193" spans="2:15" s="82" customFormat="1" ht="12.75" customHeight="1" x14ac:dyDescent="0.2">
      <c r="B193" s="366"/>
      <c r="C193" s="465" t="s">
        <v>55</v>
      </c>
      <c r="D193" s="75"/>
      <c r="E193" s="433">
        <v>-877</v>
      </c>
      <c r="F193" s="433">
        <v>-1080</v>
      </c>
      <c r="G193" s="433">
        <v>-597</v>
      </c>
      <c r="H193" s="719">
        <v>-569</v>
      </c>
      <c r="I193" s="85"/>
      <c r="J193" s="420"/>
      <c r="K193" s="730"/>
      <c r="L193" s="45"/>
      <c r="M193" s="815"/>
      <c r="N193" s="395"/>
      <c r="O193" s="815"/>
    </row>
    <row r="194" spans="2:15" ht="12.75" customHeight="1" x14ac:dyDescent="0.2">
      <c r="C194" s="832" t="s">
        <v>56</v>
      </c>
      <c r="D194" s="833"/>
      <c r="E194" s="433">
        <v>-524</v>
      </c>
      <c r="F194" s="433">
        <v>-581</v>
      </c>
      <c r="G194" s="433">
        <v>-585</v>
      </c>
      <c r="H194" s="719">
        <v>-607</v>
      </c>
      <c r="I194" s="85"/>
      <c r="J194" s="420"/>
      <c r="K194" s="730"/>
      <c r="M194" s="815"/>
      <c r="O194" s="815"/>
    </row>
    <row r="195" spans="2:15" ht="12.75" customHeight="1" x14ac:dyDescent="0.2">
      <c r="C195" s="832" t="s">
        <v>57</v>
      </c>
      <c r="D195" s="833"/>
      <c r="E195" s="433">
        <v>-859</v>
      </c>
      <c r="F195" s="433">
        <v>-1076</v>
      </c>
      <c r="G195" s="433">
        <v>-734</v>
      </c>
      <c r="H195" s="719">
        <v>-697</v>
      </c>
      <c r="I195" s="85"/>
      <c r="J195" s="420"/>
      <c r="K195" s="730"/>
      <c r="M195" s="815"/>
      <c r="O195" s="815"/>
    </row>
    <row r="196" spans="2:15" ht="12.75" customHeight="1" x14ac:dyDescent="0.2">
      <c r="B196" s="79"/>
      <c r="C196" s="80" t="s">
        <v>58</v>
      </c>
      <c r="D196" s="81"/>
      <c r="E196" s="440">
        <v>1005</v>
      </c>
      <c r="F196" s="440">
        <v>1114</v>
      </c>
      <c r="G196" s="440">
        <v>928</v>
      </c>
      <c r="H196" s="722">
        <v>808</v>
      </c>
      <c r="I196" s="86"/>
      <c r="J196" s="421">
        <v>-9.5</v>
      </c>
      <c r="K196" s="731">
        <v>-18.600000000000001</v>
      </c>
      <c r="M196" s="815"/>
      <c r="O196" s="815"/>
    </row>
    <row r="197" spans="2:15" s="82" customFormat="1" ht="12.75" customHeight="1" x14ac:dyDescent="0.2">
      <c r="B197" s="79"/>
      <c r="C197" s="465" t="s">
        <v>59</v>
      </c>
      <c r="D197" s="75"/>
      <c r="E197" s="433"/>
      <c r="F197" s="433"/>
      <c r="G197" s="433"/>
      <c r="H197" s="719"/>
      <c r="I197" s="85"/>
      <c r="J197" s="420"/>
      <c r="K197" s="730"/>
      <c r="L197" s="45"/>
      <c r="M197" s="815"/>
      <c r="N197" s="395"/>
      <c r="O197" s="815"/>
    </row>
    <row r="198" spans="2:15" s="82" customFormat="1" ht="12.75" customHeight="1" x14ac:dyDescent="0.2">
      <c r="B198" s="366"/>
      <c r="C198" s="83" t="s">
        <v>60</v>
      </c>
      <c r="D198" s="75"/>
      <c r="E198" s="433">
        <v>-3</v>
      </c>
      <c r="F198" s="433">
        <v>-3</v>
      </c>
      <c r="G198" s="433">
        <v>-4</v>
      </c>
      <c r="H198" s="719">
        <v>-2</v>
      </c>
      <c r="I198" s="85"/>
      <c r="J198" s="420"/>
      <c r="K198" s="730"/>
      <c r="L198" s="45"/>
      <c r="M198" s="815"/>
      <c r="N198" s="395"/>
      <c r="O198" s="815"/>
    </row>
    <row r="199" spans="2:15" ht="12.75" customHeight="1" x14ac:dyDescent="0.2">
      <c r="C199" s="83" t="s">
        <v>61</v>
      </c>
      <c r="D199" s="75"/>
      <c r="E199" s="433">
        <v>-55</v>
      </c>
      <c r="F199" s="433">
        <v>-75</v>
      </c>
      <c r="G199" s="433">
        <v>-93</v>
      </c>
      <c r="H199" s="719">
        <v>-98</v>
      </c>
      <c r="I199" s="85"/>
      <c r="J199" s="420"/>
      <c r="K199" s="730"/>
      <c r="M199" s="815"/>
      <c r="O199" s="815"/>
    </row>
    <row r="200" spans="2:15" ht="12.75" customHeight="1" x14ac:dyDescent="0.2">
      <c r="C200" s="83" t="s">
        <v>62</v>
      </c>
      <c r="D200" s="75"/>
      <c r="E200" s="433">
        <v>-501</v>
      </c>
      <c r="F200" s="433">
        <v>-607</v>
      </c>
      <c r="G200" s="433">
        <v>-441</v>
      </c>
      <c r="H200" s="719">
        <v>-424</v>
      </c>
      <c r="I200" s="85"/>
      <c r="J200" s="420"/>
      <c r="K200" s="730"/>
      <c r="M200" s="815"/>
      <c r="O200" s="815"/>
    </row>
    <row r="201" spans="2:15" ht="12.75" customHeight="1" x14ac:dyDescent="0.2">
      <c r="C201" s="465" t="s">
        <v>259</v>
      </c>
      <c r="D201" s="75"/>
      <c r="E201" s="433">
        <v>1</v>
      </c>
      <c r="F201" s="84">
        <v>1</v>
      </c>
      <c r="G201" s="433">
        <v>1</v>
      </c>
      <c r="H201" s="719">
        <v>1</v>
      </c>
      <c r="I201" s="85"/>
      <c r="J201" s="420"/>
      <c r="K201" s="730"/>
      <c r="M201" s="815"/>
      <c r="O201" s="815"/>
    </row>
    <row r="202" spans="2:15" ht="12.75" customHeight="1" thickBot="1" x14ac:dyDescent="0.25">
      <c r="B202" s="79"/>
      <c r="C202" s="80" t="s">
        <v>64</v>
      </c>
      <c r="D202" s="81"/>
      <c r="E202" s="437">
        <v>447</v>
      </c>
      <c r="F202" s="437">
        <v>431</v>
      </c>
      <c r="G202" s="437">
        <f>SUM(G196:G201)</f>
        <v>391</v>
      </c>
      <c r="H202" s="724">
        <v>285</v>
      </c>
      <c r="I202" s="86"/>
      <c r="J202" s="421">
        <v>-20.399999999999999</v>
      </c>
      <c r="K202" s="731">
        <v>-40.200000000000003</v>
      </c>
      <c r="M202" s="815"/>
      <c r="O202" s="815"/>
    </row>
    <row r="203" spans="2:15" s="82" customFormat="1" ht="12.75" customHeight="1" thickTop="1" x14ac:dyDescent="0.2">
      <c r="B203" s="366"/>
      <c r="C203" s="366"/>
      <c r="D203" s="75"/>
      <c r="E203" s="441"/>
      <c r="F203" s="441"/>
      <c r="G203" s="441"/>
      <c r="H203" s="726"/>
      <c r="I203" s="428"/>
      <c r="J203" s="420"/>
      <c r="K203" s="730"/>
      <c r="L203" s="45"/>
      <c r="M203" s="815"/>
      <c r="N203" s="395"/>
      <c r="O203" s="815"/>
    </row>
    <row r="204" spans="2:15" ht="12.75" customHeight="1" x14ac:dyDescent="0.2">
      <c r="B204" s="79"/>
      <c r="C204" s="80" t="s">
        <v>65</v>
      </c>
      <c r="D204" s="81"/>
      <c r="E204" s="91">
        <v>0.308</v>
      </c>
      <c r="F204" s="91">
        <v>0.28899999999999998</v>
      </c>
      <c r="G204" s="91">
        <f>ROUND(G196/G192,3)</f>
        <v>0.32600000000000001</v>
      </c>
      <c r="H204" s="723">
        <v>0.30099999999999999</v>
      </c>
      <c r="I204" s="91"/>
      <c r="J204" s="421"/>
      <c r="K204" s="731"/>
      <c r="M204" s="815"/>
      <c r="O204" s="815"/>
    </row>
    <row r="205" spans="2:15" s="82" customFormat="1" ht="12.75" customHeight="1" x14ac:dyDescent="0.2">
      <c r="B205" s="366"/>
      <c r="C205" s="83" t="s">
        <v>66</v>
      </c>
      <c r="D205" s="75"/>
      <c r="E205" s="441">
        <v>330</v>
      </c>
      <c r="F205" s="441">
        <v>663</v>
      </c>
      <c r="G205" s="441">
        <v>303</v>
      </c>
      <c r="H205" s="719">
        <v>496</v>
      </c>
      <c r="I205" s="428"/>
      <c r="J205" s="420"/>
      <c r="K205" s="730"/>
      <c r="L205" s="45"/>
      <c r="M205" s="815"/>
      <c r="N205" s="395"/>
      <c r="O205" s="815"/>
    </row>
    <row r="206" spans="2:15" ht="12.75" customHeight="1" x14ac:dyDescent="0.2">
      <c r="C206" s="366"/>
      <c r="D206" s="75"/>
      <c r="E206" s="433"/>
      <c r="F206" s="433"/>
      <c r="G206" s="433"/>
      <c r="H206" s="719"/>
      <c r="I206" s="85"/>
      <c r="J206" s="420"/>
      <c r="K206" s="730"/>
      <c r="M206" s="815"/>
      <c r="O206" s="815"/>
    </row>
    <row r="207" spans="2:15" ht="25.5" customHeight="1" x14ac:dyDescent="0.2">
      <c r="B207" s="834" t="s">
        <v>300</v>
      </c>
      <c r="C207" s="821"/>
      <c r="D207" s="75"/>
      <c r="E207" s="433"/>
      <c r="F207" s="433"/>
      <c r="G207" s="433"/>
      <c r="H207" s="719"/>
      <c r="I207" s="85"/>
      <c r="J207" s="420"/>
      <c r="K207" s="730"/>
      <c r="M207" s="815"/>
      <c r="O207" s="815"/>
    </row>
    <row r="208" spans="2:15" ht="12.75" customHeight="1" x14ac:dyDescent="0.2">
      <c r="C208" s="465" t="s">
        <v>19</v>
      </c>
      <c r="D208" s="75"/>
      <c r="E208" s="433"/>
      <c r="F208" s="433"/>
      <c r="G208" s="433"/>
      <c r="H208" s="719"/>
      <c r="I208" s="85"/>
      <c r="J208" s="420"/>
      <c r="K208" s="730"/>
      <c r="M208" s="815"/>
      <c r="O208" s="815"/>
    </row>
    <row r="209" spans="2:15" ht="12.75" customHeight="1" x14ac:dyDescent="0.2">
      <c r="C209" s="78" t="s">
        <v>20</v>
      </c>
      <c r="D209" s="75"/>
      <c r="E209" s="433">
        <v>1365</v>
      </c>
      <c r="F209" s="433">
        <v>1402</v>
      </c>
      <c r="G209" s="433">
        <v>1387</v>
      </c>
      <c r="H209" s="719">
        <v>1314</v>
      </c>
      <c r="I209" s="85"/>
      <c r="J209" s="420"/>
      <c r="K209" s="730"/>
      <c r="M209" s="815"/>
      <c r="O209" s="815"/>
    </row>
    <row r="210" spans="2:15" ht="12.75" customHeight="1" x14ac:dyDescent="0.2">
      <c r="C210" s="78" t="s">
        <v>21</v>
      </c>
      <c r="D210" s="75"/>
      <c r="E210" s="84">
        <v>360</v>
      </c>
      <c r="F210" s="84">
        <v>406</v>
      </c>
      <c r="G210" s="84">
        <v>442</v>
      </c>
      <c r="H210" s="720">
        <v>543</v>
      </c>
      <c r="I210" s="85"/>
      <c r="J210" s="420"/>
      <c r="K210" s="730"/>
      <c r="M210" s="815"/>
      <c r="O210" s="815"/>
    </row>
    <row r="211" spans="2:15" ht="12.75" customHeight="1" x14ac:dyDescent="0.2">
      <c r="C211" s="78" t="s">
        <v>22</v>
      </c>
      <c r="D211" s="75"/>
      <c r="E211" s="433">
        <v>1725</v>
      </c>
      <c r="F211" s="433">
        <v>1808</v>
      </c>
      <c r="G211" s="433">
        <v>1829</v>
      </c>
      <c r="H211" s="719">
        <v>1857</v>
      </c>
      <c r="I211" s="85"/>
      <c r="J211" s="420"/>
      <c r="K211" s="730"/>
      <c r="M211" s="815"/>
      <c r="O211" s="815"/>
    </row>
    <row r="212" spans="2:15" ht="12.75" customHeight="1" x14ac:dyDescent="0.2">
      <c r="C212" s="465" t="s">
        <v>52</v>
      </c>
      <c r="D212" s="75"/>
      <c r="E212" s="433"/>
      <c r="F212" s="433"/>
      <c r="G212" s="433"/>
      <c r="H212" s="719"/>
      <c r="I212" s="85"/>
      <c r="J212" s="420"/>
      <c r="K212" s="730"/>
      <c r="M212" s="815"/>
      <c r="O212" s="815"/>
    </row>
    <row r="213" spans="2:15" ht="12.75" customHeight="1" x14ac:dyDescent="0.2">
      <c r="C213" s="78" t="s">
        <v>20</v>
      </c>
      <c r="D213" s="75"/>
      <c r="E213" s="433">
        <v>903</v>
      </c>
      <c r="F213" s="433">
        <v>867</v>
      </c>
      <c r="G213" s="433">
        <v>844</v>
      </c>
      <c r="H213" s="719">
        <v>712</v>
      </c>
      <c r="I213" s="85"/>
      <c r="J213" s="420"/>
      <c r="K213" s="730"/>
      <c r="M213" s="815"/>
      <c r="O213" s="815"/>
    </row>
    <row r="214" spans="2:15" ht="12.75" customHeight="1" x14ac:dyDescent="0.2">
      <c r="C214" s="78" t="s">
        <v>21</v>
      </c>
      <c r="D214" s="75"/>
      <c r="E214" s="84">
        <v>2679</v>
      </c>
      <c r="F214" s="84">
        <v>2655</v>
      </c>
      <c r="G214" s="84">
        <v>2637</v>
      </c>
      <c r="H214" s="720">
        <v>2297</v>
      </c>
      <c r="I214" s="85"/>
      <c r="J214" s="420"/>
      <c r="K214" s="730"/>
      <c r="M214" s="815"/>
      <c r="O214" s="815"/>
    </row>
    <row r="215" spans="2:15" ht="12.75" customHeight="1" x14ac:dyDescent="0.2">
      <c r="C215" s="78" t="s">
        <v>22</v>
      </c>
      <c r="D215" s="75"/>
      <c r="E215" s="433">
        <v>3582</v>
      </c>
      <c r="F215" s="433">
        <v>3522</v>
      </c>
      <c r="G215" s="433">
        <v>3481</v>
      </c>
      <c r="H215" s="719">
        <v>3009</v>
      </c>
      <c r="I215" s="85"/>
      <c r="J215" s="420"/>
      <c r="K215" s="730"/>
      <c r="M215" s="815"/>
      <c r="O215" s="815"/>
    </row>
    <row r="216" spans="2:15" ht="12.75" customHeight="1" x14ac:dyDescent="0.2">
      <c r="C216" s="465" t="s">
        <v>24</v>
      </c>
      <c r="D216" s="75"/>
      <c r="E216" s="433">
        <v>967</v>
      </c>
      <c r="F216" s="433">
        <v>997</v>
      </c>
      <c r="G216" s="433">
        <v>918</v>
      </c>
      <c r="H216" s="719">
        <v>807</v>
      </c>
      <c r="I216" s="85"/>
      <c r="J216" s="420"/>
      <c r="K216" s="730"/>
      <c r="M216" s="815"/>
      <c r="O216" s="815"/>
    </row>
    <row r="217" spans="2:15" ht="12.75" customHeight="1" x14ac:dyDescent="0.2">
      <c r="C217" s="465" t="s">
        <v>53</v>
      </c>
      <c r="D217" s="75"/>
      <c r="E217" s="433">
        <v>252</v>
      </c>
      <c r="F217" s="433">
        <v>310</v>
      </c>
      <c r="G217" s="433">
        <v>337</v>
      </c>
      <c r="H217" s="719">
        <v>322</v>
      </c>
      <c r="I217" s="85"/>
      <c r="J217" s="420"/>
      <c r="K217" s="730"/>
      <c r="M217" s="815"/>
      <c r="O217" s="815"/>
    </row>
    <row r="218" spans="2:15" ht="12.75" customHeight="1" x14ac:dyDescent="0.2">
      <c r="C218" s="465" t="s">
        <v>26</v>
      </c>
      <c r="D218" s="75"/>
      <c r="E218" s="84">
        <v>279</v>
      </c>
      <c r="F218" s="84">
        <v>287</v>
      </c>
      <c r="G218" s="84">
        <v>265</v>
      </c>
      <c r="H218" s="720">
        <v>262</v>
      </c>
      <c r="I218" s="85"/>
      <c r="J218" s="420"/>
      <c r="K218" s="730"/>
      <c r="M218" s="815"/>
      <c r="O218" s="815"/>
    </row>
    <row r="219" spans="2:15" ht="12.75" customHeight="1" x14ac:dyDescent="0.2">
      <c r="B219" s="79"/>
      <c r="C219" s="80" t="s">
        <v>28</v>
      </c>
      <c r="D219" s="81"/>
      <c r="E219" s="434">
        <v>6805</v>
      </c>
      <c r="F219" s="434">
        <v>6924</v>
      </c>
      <c r="G219" s="434">
        <v>6830</v>
      </c>
      <c r="H219" s="721">
        <v>6257</v>
      </c>
      <c r="I219" s="86"/>
      <c r="J219" s="421">
        <v>6.4</v>
      </c>
      <c r="K219" s="731">
        <v>5.7</v>
      </c>
      <c r="M219" s="815"/>
      <c r="O219" s="815"/>
    </row>
    <row r="220" spans="2:15" s="82" customFormat="1" ht="12.75" customHeight="1" x14ac:dyDescent="0.2">
      <c r="B220" s="366"/>
      <c r="C220" s="465" t="s">
        <v>54</v>
      </c>
      <c r="D220" s="75"/>
      <c r="E220" s="84">
        <v>725</v>
      </c>
      <c r="F220" s="84">
        <v>958</v>
      </c>
      <c r="G220" s="84">
        <v>906</v>
      </c>
      <c r="H220" s="720">
        <v>978</v>
      </c>
      <c r="I220" s="85"/>
      <c r="J220" s="420"/>
      <c r="K220" s="730"/>
      <c r="L220" s="45"/>
      <c r="M220" s="815"/>
      <c r="N220" s="395"/>
      <c r="O220" s="815"/>
    </row>
    <row r="221" spans="2:15" ht="12.75" customHeight="1" x14ac:dyDescent="0.2">
      <c r="B221" s="79"/>
      <c r="C221" s="80" t="s">
        <v>18</v>
      </c>
      <c r="D221" s="81"/>
      <c r="E221" s="434">
        <v>7530</v>
      </c>
      <c r="F221" s="434">
        <v>7882</v>
      </c>
      <c r="G221" s="434">
        <v>7736</v>
      </c>
      <c r="H221" s="721">
        <v>7235</v>
      </c>
      <c r="I221" s="86"/>
      <c r="J221" s="421">
        <v>8.3000000000000007</v>
      </c>
      <c r="K221" s="731">
        <v>8.4</v>
      </c>
      <c r="M221" s="815"/>
      <c r="O221" s="815"/>
    </row>
    <row r="222" spans="2:15" s="82" customFormat="1" ht="12.75" customHeight="1" x14ac:dyDescent="0.2">
      <c r="B222" s="366"/>
      <c r="C222" s="465" t="s">
        <v>55</v>
      </c>
      <c r="D222" s="75"/>
      <c r="E222" s="85">
        <v>-2108</v>
      </c>
      <c r="F222" s="85">
        <v>-2112</v>
      </c>
      <c r="G222" s="85">
        <v>-2037</v>
      </c>
      <c r="H222" s="719">
        <v>-1856</v>
      </c>
      <c r="I222" s="85"/>
      <c r="J222" s="420"/>
      <c r="K222" s="730"/>
      <c r="L222" s="45"/>
      <c r="M222" s="815"/>
      <c r="N222" s="395"/>
      <c r="O222" s="815"/>
    </row>
    <row r="223" spans="2:15" ht="12.75" customHeight="1" x14ac:dyDescent="0.2">
      <c r="C223" s="832" t="s">
        <v>56</v>
      </c>
      <c r="D223" s="833"/>
      <c r="E223" s="85">
        <v>-1184</v>
      </c>
      <c r="F223" s="85">
        <v>-1229</v>
      </c>
      <c r="G223" s="85">
        <v>-1200</v>
      </c>
      <c r="H223" s="719">
        <v>-1219</v>
      </c>
      <c r="I223" s="85"/>
      <c r="J223" s="420"/>
      <c r="K223" s="730"/>
      <c r="M223" s="815"/>
      <c r="O223" s="815"/>
    </row>
    <row r="224" spans="2:15" ht="12.75" customHeight="1" x14ac:dyDescent="0.2">
      <c r="C224" s="832" t="s">
        <v>57</v>
      </c>
      <c r="D224" s="833"/>
      <c r="E224" s="85">
        <v>-2083</v>
      </c>
      <c r="F224" s="85">
        <v>-2164</v>
      </c>
      <c r="G224" s="85">
        <v>-2079</v>
      </c>
      <c r="H224" s="719">
        <v>-1900</v>
      </c>
      <c r="I224" s="85"/>
      <c r="J224" s="420"/>
      <c r="K224" s="730"/>
      <c r="M224" s="815"/>
      <c r="O224" s="815"/>
    </row>
    <row r="225" spans="2:15" ht="12.75" customHeight="1" x14ac:dyDescent="0.2">
      <c r="B225" s="79"/>
      <c r="C225" s="80" t="s">
        <v>58</v>
      </c>
      <c r="D225" s="81"/>
      <c r="E225" s="440">
        <v>2155</v>
      </c>
      <c r="F225" s="440">
        <v>2377</v>
      </c>
      <c r="G225" s="440">
        <v>2420</v>
      </c>
      <c r="H225" s="722">
        <v>2260</v>
      </c>
      <c r="I225" s="86"/>
      <c r="J225" s="421">
        <v>20.399999999999999</v>
      </c>
      <c r="K225" s="731">
        <v>11.9</v>
      </c>
      <c r="M225" s="815"/>
      <c r="O225" s="815"/>
    </row>
    <row r="226" spans="2:15" s="82" customFormat="1" ht="12.75" customHeight="1" x14ac:dyDescent="0.2">
      <c r="B226" s="79"/>
      <c r="C226" s="465" t="s">
        <v>59</v>
      </c>
      <c r="D226" s="81"/>
      <c r="E226" s="433"/>
      <c r="F226" s="433"/>
      <c r="G226" s="433"/>
      <c r="H226" s="719"/>
      <c r="I226" s="86"/>
      <c r="J226" s="420"/>
      <c r="K226" s="730"/>
      <c r="L226" s="45"/>
      <c r="M226" s="815"/>
      <c r="N226" s="395"/>
      <c r="O226" s="815"/>
    </row>
    <row r="227" spans="2:15" s="82" customFormat="1" ht="12.75" customHeight="1" x14ac:dyDescent="0.2">
      <c r="B227" s="366"/>
      <c r="C227" s="83" t="s">
        <v>60</v>
      </c>
      <c r="D227" s="75"/>
      <c r="E227" s="433">
        <v>-226</v>
      </c>
      <c r="F227" s="433">
        <v>-224</v>
      </c>
      <c r="G227" s="433">
        <f>1061-1271</f>
        <v>-210</v>
      </c>
      <c r="H227" s="719">
        <v>-188</v>
      </c>
      <c r="I227" s="85"/>
      <c r="J227" s="420"/>
      <c r="K227" s="730"/>
      <c r="L227" s="45"/>
      <c r="M227" s="815"/>
      <c r="N227" s="395"/>
      <c r="O227" s="815"/>
    </row>
    <row r="228" spans="2:15" ht="12.75" customHeight="1" x14ac:dyDescent="0.2">
      <c r="C228" s="83" t="s">
        <v>61</v>
      </c>
      <c r="D228" s="75"/>
      <c r="E228" s="433">
        <v>-102</v>
      </c>
      <c r="F228" s="433">
        <v>-109</v>
      </c>
      <c r="G228" s="433">
        <v>-109</v>
      </c>
      <c r="H228" s="719">
        <v>-106</v>
      </c>
      <c r="I228" s="85"/>
      <c r="J228" s="420"/>
      <c r="K228" s="730"/>
      <c r="M228" s="815"/>
      <c r="O228" s="815"/>
    </row>
    <row r="229" spans="2:15" ht="12.75" customHeight="1" x14ac:dyDescent="0.2">
      <c r="C229" s="83" t="s">
        <v>62</v>
      </c>
      <c r="D229" s="75"/>
      <c r="E229" s="433">
        <v>-964</v>
      </c>
      <c r="F229" s="433">
        <v>-1066</v>
      </c>
      <c r="G229" s="433">
        <v>-1074</v>
      </c>
      <c r="H229" s="719">
        <v>-968</v>
      </c>
      <c r="I229" s="85"/>
      <c r="J229" s="420"/>
      <c r="K229" s="730"/>
      <c r="M229" s="815"/>
      <c r="O229" s="815"/>
    </row>
    <row r="230" spans="2:15" ht="12.75" customHeight="1" x14ac:dyDescent="0.2">
      <c r="C230" s="465" t="s">
        <v>259</v>
      </c>
      <c r="D230" s="75"/>
      <c r="E230" s="433">
        <v>23</v>
      </c>
      <c r="F230" s="84">
        <v>29</v>
      </c>
      <c r="G230" s="433">
        <v>34</v>
      </c>
      <c r="H230" s="719">
        <v>33</v>
      </c>
      <c r="I230" s="85"/>
      <c r="J230" s="420"/>
      <c r="K230" s="730"/>
      <c r="M230" s="815"/>
      <c r="O230" s="815"/>
    </row>
    <row r="231" spans="2:15" ht="12.75" customHeight="1" thickBot="1" x14ac:dyDescent="0.25">
      <c r="B231" s="79"/>
      <c r="C231" s="80" t="s">
        <v>64</v>
      </c>
      <c r="D231" s="81"/>
      <c r="E231" s="437">
        <v>886</v>
      </c>
      <c r="F231" s="437">
        <v>1007</v>
      </c>
      <c r="G231" s="437">
        <f>SUM(G225:G230)</f>
        <v>1061</v>
      </c>
      <c r="H231" s="724">
        <v>1031</v>
      </c>
      <c r="I231" s="86"/>
      <c r="J231" s="421">
        <v>35.200000000000003</v>
      </c>
      <c r="K231" s="731">
        <v>22.4</v>
      </c>
      <c r="M231" s="815"/>
      <c r="O231" s="815"/>
    </row>
    <row r="232" spans="2:15" s="82" customFormat="1" ht="12.75" customHeight="1" thickTop="1" x14ac:dyDescent="0.2">
      <c r="B232" s="366"/>
      <c r="C232" s="366"/>
      <c r="D232" s="75"/>
      <c r="E232" s="438"/>
      <c r="F232" s="438"/>
      <c r="G232" s="438"/>
      <c r="H232" s="719"/>
      <c r="I232" s="85"/>
      <c r="J232" s="419"/>
      <c r="K232" s="729"/>
      <c r="L232" s="45"/>
      <c r="M232" s="815"/>
      <c r="N232" s="395"/>
      <c r="O232" s="815"/>
    </row>
    <row r="233" spans="2:15" ht="12.75" customHeight="1" x14ac:dyDescent="0.2">
      <c r="B233" s="79"/>
      <c r="C233" s="80" t="s">
        <v>65</v>
      </c>
      <c r="D233" s="81"/>
      <c r="E233" s="91">
        <v>0.28599999999999998</v>
      </c>
      <c r="F233" s="91">
        <v>0.30157320477036287</v>
      </c>
      <c r="G233" s="91">
        <f>ROUND(G225/G221,3)</f>
        <v>0.313</v>
      </c>
      <c r="H233" s="723">
        <v>0.312</v>
      </c>
      <c r="I233" s="91"/>
      <c r="J233" s="419"/>
      <c r="K233" s="729"/>
      <c r="M233" s="815"/>
      <c r="O233" s="815"/>
    </row>
    <row r="234" spans="2:15" s="82" customFormat="1" ht="12.75" customHeight="1" x14ac:dyDescent="0.2">
      <c r="B234" s="366"/>
      <c r="C234" s="83" t="s">
        <v>66</v>
      </c>
      <c r="D234" s="75"/>
      <c r="E234" s="433">
        <v>969</v>
      </c>
      <c r="F234" s="433">
        <v>1255</v>
      </c>
      <c r="G234" s="433">
        <v>931</v>
      </c>
      <c r="H234" s="719">
        <v>1416</v>
      </c>
      <c r="I234" s="85"/>
      <c r="J234" s="419"/>
      <c r="K234" s="729"/>
      <c r="L234" s="45"/>
      <c r="M234" s="815"/>
      <c r="N234" s="395"/>
      <c r="O234" s="815"/>
    </row>
    <row r="235" spans="2:15" ht="12.75" customHeight="1" x14ac:dyDescent="0.2">
      <c r="C235" s="83"/>
      <c r="D235" s="75"/>
      <c r="E235" s="433"/>
      <c r="F235" s="433"/>
      <c r="G235" s="433"/>
      <c r="H235" s="719"/>
      <c r="I235" s="85"/>
      <c r="J235" s="420"/>
      <c r="K235" s="730"/>
      <c r="M235" s="815"/>
      <c r="O235" s="815"/>
    </row>
    <row r="236" spans="2:15" s="366" customFormat="1" ht="12.75" customHeight="1" x14ac:dyDescent="0.2">
      <c r="B236" s="836" t="s">
        <v>132</v>
      </c>
      <c r="C236" s="837"/>
      <c r="D236" s="75"/>
      <c r="E236" s="433"/>
      <c r="F236" s="433"/>
      <c r="G236" s="433"/>
      <c r="H236" s="719"/>
      <c r="I236" s="85"/>
      <c r="J236" s="420"/>
      <c r="K236" s="730"/>
      <c r="L236" s="471"/>
      <c r="M236" s="815"/>
      <c r="N236" s="395"/>
      <c r="O236" s="815"/>
    </row>
    <row r="237" spans="2:15" ht="12.75" customHeight="1" x14ac:dyDescent="0.25">
      <c r="C237" s="465" t="s">
        <v>19</v>
      </c>
      <c r="D237" s="75"/>
      <c r="E237" s="432"/>
      <c r="F237" s="432"/>
      <c r="G237" s="432"/>
      <c r="H237" s="719"/>
      <c r="I237" s="85"/>
      <c r="J237" s="420"/>
      <c r="K237" s="730"/>
      <c r="M237" s="815"/>
      <c r="O237" s="815"/>
    </row>
    <row r="238" spans="2:15" ht="12.75" customHeight="1" x14ac:dyDescent="0.2">
      <c r="C238" s="78" t="s">
        <v>20</v>
      </c>
      <c r="D238" s="75"/>
      <c r="E238" s="433">
        <v>131</v>
      </c>
      <c r="F238" s="433">
        <v>144</v>
      </c>
      <c r="G238" s="433">
        <v>165</v>
      </c>
      <c r="H238" s="719">
        <v>176</v>
      </c>
      <c r="I238" s="85"/>
      <c r="J238" s="420"/>
      <c r="K238" s="730"/>
      <c r="M238" s="815"/>
      <c r="O238" s="815"/>
    </row>
    <row r="239" spans="2:15" ht="12.75" customHeight="1" x14ac:dyDescent="0.2">
      <c r="C239" s="78" t="s">
        <v>21</v>
      </c>
      <c r="D239" s="75"/>
      <c r="E239" s="84">
        <v>115</v>
      </c>
      <c r="F239" s="84">
        <v>145</v>
      </c>
      <c r="G239" s="84">
        <v>132</v>
      </c>
      <c r="H239" s="720">
        <v>139</v>
      </c>
      <c r="I239" s="85"/>
      <c r="J239" s="420"/>
      <c r="K239" s="730"/>
      <c r="M239" s="815"/>
      <c r="O239" s="815"/>
    </row>
    <row r="240" spans="2:15" ht="12.75" customHeight="1" x14ac:dyDescent="0.2">
      <c r="C240" s="78" t="s">
        <v>22</v>
      </c>
      <c r="D240" s="75"/>
      <c r="E240" s="433">
        <v>246</v>
      </c>
      <c r="F240" s="433">
        <v>289</v>
      </c>
      <c r="G240" s="433">
        <v>297</v>
      </c>
      <c r="H240" s="719">
        <v>315</v>
      </c>
      <c r="I240" s="85"/>
      <c r="J240" s="420"/>
      <c r="K240" s="730"/>
      <c r="M240" s="815"/>
      <c r="O240" s="815"/>
    </row>
    <row r="241" spans="2:15" ht="12.75" customHeight="1" x14ac:dyDescent="0.2">
      <c r="C241" s="465" t="s">
        <v>52</v>
      </c>
      <c r="D241" s="75"/>
      <c r="E241" s="433"/>
      <c r="F241" s="433"/>
      <c r="G241" s="433"/>
      <c r="H241" s="719"/>
      <c r="I241" s="85"/>
      <c r="J241" s="420"/>
      <c r="K241" s="730"/>
      <c r="M241" s="815"/>
      <c r="O241" s="815"/>
    </row>
    <row r="242" spans="2:15" ht="12.75" customHeight="1" x14ac:dyDescent="0.2">
      <c r="C242" s="78" t="s">
        <v>20</v>
      </c>
      <c r="D242" s="75"/>
      <c r="E242" s="433">
        <v>205</v>
      </c>
      <c r="F242" s="433">
        <v>210</v>
      </c>
      <c r="G242" s="433">
        <v>203</v>
      </c>
      <c r="H242" s="719">
        <v>173</v>
      </c>
      <c r="I242" s="85"/>
      <c r="J242" s="420"/>
      <c r="K242" s="730"/>
      <c r="M242" s="815"/>
      <c r="O242" s="815"/>
    </row>
    <row r="243" spans="2:15" ht="12.75" customHeight="1" x14ac:dyDescent="0.2">
      <c r="C243" s="78" t="s">
        <v>21</v>
      </c>
      <c r="D243" s="75"/>
      <c r="E243" s="84">
        <v>1039</v>
      </c>
      <c r="F243" s="84">
        <v>1060</v>
      </c>
      <c r="G243" s="84">
        <v>1126</v>
      </c>
      <c r="H243" s="720">
        <v>1016</v>
      </c>
      <c r="I243" s="85"/>
      <c r="J243" s="420"/>
      <c r="K243" s="730"/>
      <c r="M243" s="815"/>
      <c r="O243" s="815"/>
    </row>
    <row r="244" spans="2:15" ht="12.75" customHeight="1" x14ac:dyDescent="0.2">
      <c r="C244" s="78" t="s">
        <v>22</v>
      </c>
      <c r="D244" s="75"/>
      <c r="E244" s="433">
        <v>1244</v>
      </c>
      <c r="F244" s="433">
        <v>1270</v>
      </c>
      <c r="G244" s="433">
        <v>1329</v>
      </c>
      <c r="H244" s="719">
        <v>1189</v>
      </c>
      <c r="I244" s="85"/>
      <c r="J244" s="420"/>
      <c r="K244" s="730"/>
      <c r="M244" s="815"/>
      <c r="O244" s="815"/>
    </row>
    <row r="245" spans="2:15" ht="12.75" customHeight="1" x14ac:dyDescent="0.2">
      <c r="C245" s="465" t="s">
        <v>24</v>
      </c>
      <c r="D245" s="75"/>
      <c r="E245" s="433">
        <v>332</v>
      </c>
      <c r="F245" s="433">
        <v>356</v>
      </c>
      <c r="G245" s="433">
        <v>354</v>
      </c>
      <c r="H245" s="719">
        <v>325</v>
      </c>
      <c r="I245" s="85"/>
      <c r="J245" s="420"/>
      <c r="K245" s="730"/>
      <c r="M245" s="815"/>
      <c r="O245" s="815"/>
    </row>
    <row r="246" spans="2:15" ht="12.75" customHeight="1" x14ac:dyDescent="0.2">
      <c r="C246" s="465" t="s">
        <v>53</v>
      </c>
      <c r="D246" s="75"/>
      <c r="E246" s="433">
        <v>9</v>
      </c>
      <c r="F246" s="433">
        <v>10</v>
      </c>
      <c r="G246" s="433">
        <v>12</v>
      </c>
      <c r="H246" s="719">
        <v>14</v>
      </c>
      <c r="I246" s="85"/>
      <c r="J246" s="420"/>
      <c r="K246" s="730"/>
      <c r="M246" s="815"/>
      <c r="O246" s="815"/>
    </row>
    <row r="247" spans="2:15" ht="12.75" customHeight="1" x14ac:dyDescent="0.2">
      <c r="C247" s="465" t="s">
        <v>26</v>
      </c>
      <c r="D247" s="75"/>
      <c r="E247" s="84">
        <v>56</v>
      </c>
      <c r="F247" s="84">
        <v>65</v>
      </c>
      <c r="G247" s="84">
        <v>46</v>
      </c>
      <c r="H247" s="720">
        <v>46</v>
      </c>
      <c r="I247" s="85"/>
      <c r="J247" s="420"/>
      <c r="K247" s="730"/>
      <c r="M247" s="815"/>
      <c r="O247" s="815"/>
    </row>
    <row r="248" spans="2:15" ht="12.75" customHeight="1" x14ac:dyDescent="0.2">
      <c r="B248" s="79"/>
      <c r="C248" s="80" t="s">
        <v>28</v>
      </c>
      <c r="D248" s="81"/>
      <c r="E248" s="434">
        <v>1887</v>
      </c>
      <c r="F248" s="434">
        <v>1990</v>
      </c>
      <c r="G248" s="434">
        <v>2038</v>
      </c>
      <c r="H248" s="721">
        <v>1889</v>
      </c>
      <c r="I248" s="86"/>
      <c r="J248" s="421">
        <v>13.5</v>
      </c>
      <c r="K248" s="731">
        <v>12.5</v>
      </c>
      <c r="M248" s="815"/>
      <c r="O248" s="815"/>
    </row>
    <row r="249" spans="2:15" s="82" customFormat="1" ht="12.75" customHeight="1" x14ac:dyDescent="0.2">
      <c r="B249" s="366"/>
      <c r="C249" s="465" t="s">
        <v>54</v>
      </c>
      <c r="D249" s="75"/>
      <c r="E249" s="84">
        <v>151</v>
      </c>
      <c r="F249" s="84">
        <v>296</v>
      </c>
      <c r="G249" s="84">
        <v>219</v>
      </c>
      <c r="H249" s="720">
        <v>248</v>
      </c>
      <c r="I249" s="85"/>
      <c r="J249" s="420"/>
      <c r="K249" s="730"/>
      <c r="L249" s="45"/>
      <c r="M249" s="815"/>
      <c r="N249" s="395"/>
      <c r="O249" s="815"/>
    </row>
    <row r="250" spans="2:15" ht="12.75" customHeight="1" x14ac:dyDescent="0.2">
      <c r="B250" s="79"/>
      <c r="C250" s="80" t="s">
        <v>18</v>
      </c>
      <c r="D250" s="81"/>
      <c r="E250" s="434">
        <v>2038</v>
      </c>
      <c r="F250" s="434">
        <v>2286</v>
      </c>
      <c r="G250" s="434">
        <v>2257</v>
      </c>
      <c r="H250" s="721">
        <v>2137</v>
      </c>
      <c r="I250" s="86"/>
      <c r="J250" s="421">
        <v>12.8</v>
      </c>
      <c r="K250" s="731">
        <v>14.1</v>
      </c>
      <c r="M250" s="815"/>
      <c r="O250" s="815"/>
    </row>
    <row r="251" spans="2:15" s="82" customFormat="1" ht="12.75" customHeight="1" x14ac:dyDescent="0.2">
      <c r="B251" s="366"/>
      <c r="C251" s="465" t="s">
        <v>55</v>
      </c>
      <c r="D251" s="75"/>
      <c r="E251" s="85">
        <v>-618</v>
      </c>
      <c r="F251" s="85">
        <v>-637</v>
      </c>
      <c r="G251" s="85">
        <v>-632</v>
      </c>
      <c r="H251" s="719">
        <v>-599</v>
      </c>
      <c r="I251" s="85"/>
      <c r="J251" s="420"/>
      <c r="K251" s="730"/>
      <c r="L251" s="45"/>
      <c r="M251" s="815"/>
      <c r="N251" s="395"/>
      <c r="O251" s="815"/>
    </row>
    <row r="252" spans="2:15" ht="12.75" customHeight="1" x14ac:dyDescent="0.2">
      <c r="C252" s="832" t="s">
        <v>56</v>
      </c>
      <c r="D252" s="833"/>
      <c r="E252" s="85">
        <v>-102</v>
      </c>
      <c r="F252" s="85">
        <v>-85</v>
      </c>
      <c r="G252" s="85">
        <v>-80</v>
      </c>
      <c r="H252" s="719">
        <v>-79</v>
      </c>
      <c r="I252" s="85"/>
      <c r="J252" s="420"/>
      <c r="K252" s="730"/>
      <c r="M252" s="815"/>
      <c r="O252" s="815"/>
    </row>
    <row r="253" spans="2:15" ht="12.75" customHeight="1" x14ac:dyDescent="0.2">
      <c r="C253" s="832" t="s">
        <v>57</v>
      </c>
      <c r="D253" s="833"/>
      <c r="E253" s="435">
        <v>-741</v>
      </c>
      <c r="F253" s="435">
        <v>-901</v>
      </c>
      <c r="G253" s="435">
        <v>-827</v>
      </c>
      <c r="H253" s="719">
        <v>-780</v>
      </c>
      <c r="I253" s="85"/>
      <c r="J253" s="420"/>
      <c r="K253" s="730"/>
      <c r="M253" s="815"/>
      <c r="O253" s="815"/>
    </row>
    <row r="254" spans="2:15" ht="12.75" customHeight="1" x14ac:dyDescent="0.2">
      <c r="B254" s="79"/>
      <c r="C254" s="80" t="s">
        <v>58</v>
      </c>
      <c r="D254" s="81"/>
      <c r="E254" s="440">
        <v>577</v>
      </c>
      <c r="F254" s="440">
        <v>663</v>
      </c>
      <c r="G254" s="440">
        <v>718</v>
      </c>
      <c r="H254" s="722">
        <v>679</v>
      </c>
      <c r="I254" s="86"/>
      <c r="J254" s="421">
        <v>30.9</v>
      </c>
      <c r="K254" s="731">
        <v>22</v>
      </c>
      <c r="M254" s="815"/>
      <c r="O254" s="815"/>
    </row>
    <row r="255" spans="2:15" s="82" customFormat="1" ht="12.75" customHeight="1" x14ac:dyDescent="0.2">
      <c r="B255" s="79"/>
      <c r="C255" s="465" t="s">
        <v>59</v>
      </c>
      <c r="D255" s="81"/>
      <c r="E255" s="433"/>
      <c r="F255" s="433"/>
      <c r="G255" s="433"/>
      <c r="H255" s="719"/>
      <c r="I255" s="86"/>
      <c r="J255" s="420"/>
      <c r="K255" s="730"/>
      <c r="L255" s="45"/>
      <c r="M255" s="815"/>
      <c r="N255" s="395"/>
      <c r="O255" s="815"/>
    </row>
    <row r="256" spans="2:15" s="82" customFormat="1" ht="12.75" customHeight="1" x14ac:dyDescent="0.2">
      <c r="B256" s="366"/>
      <c r="C256" s="83" t="s">
        <v>60</v>
      </c>
      <c r="D256" s="75"/>
      <c r="E256" s="433">
        <v>-146</v>
      </c>
      <c r="F256" s="433">
        <v>-148</v>
      </c>
      <c r="G256" s="433">
        <v>-139</v>
      </c>
      <c r="H256" s="719">
        <v>-125</v>
      </c>
      <c r="I256" s="85"/>
      <c r="J256" s="420"/>
      <c r="K256" s="730"/>
      <c r="L256" s="45"/>
      <c r="M256" s="815"/>
      <c r="N256" s="395"/>
      <c r="O256" s="815"/>
    </row>
    <row r="257" spans="2:15" ht="12.75" customHeight="1" x14ac:dyDescent="0.2">
      <c r="C257" s="83" t="s">
        <v>61</v>
      </c>
      <c r="D257" s="75"/>
      <c r="E257" s="433">
        <v>-37</v>
      </c>
      <c r="F257" s="433">
        <v>-38</v>
      </c>
      <c r="G257" s="433">
        <v>-37</v>
      </c>
      <c r="H257" s="719">
        <v>-35</v>
      </c>
      <c r="I257" s="85"/>
      <c r="J257" s="420"/>
      <c r="K257" s="730"/>
      <c r="M257" s="815"/>
      <c r="O257" s="815"/>
    </row>
    <row r="258" spans="2:15" ht="12.75" customHeight="1" x14ac:dyDescent="0.2">
      <c r="C258" s="83" t="s">
        <v>62</v>
      </c>
      <c r="D258" s="75"/>
      <c r="E258" s="433">
        <v>-310</v>
      </c>
      <c r="F258" s="433">
        <v>-340</v>
      </c>
      <c r="G258" s="433">
        <v>-391</v>
      </c>
      <c r="H258" s="719">
        <v>-316</v>
      </c>
      <c r="I258" s="85"/>
      <c r="J258" s="420"/>
      <c r="K258" s="730"/>
      <c r="M258" s="815"/>
      <c r="O258" s="815"/>
    </row>
    <row r="259" spans="2:15" ht="12.75" customHeight="1" x14ac:dyDescent="0.2">
      <c r="C259" s="465" t="s">
        <v>259</v>
      </c>
      <c r="D259" s="75"/>
      <c r="E259" s="433">
        <v>0</v>
      </c>
      <c r="F259" s="84">
        <v>0</v>
      </c>
      <c r="G259" s="433">
        <v>0</v>
      </c>
      <c r="H259" s="719">
        <v>0</v>
      </c>
      <c r="I259" s="85"/>
      <c r="J259" s="420"/>
      <c r="K259" s="730"/>
      <c r="M259" s="815"/>
      <c r="O259" s="815"/>
    </row>
    <row r="260" spans="2:15" ht="12.75" customHeight="1" thickBot="1" x14ac:dyDescent="0.25">
      <c r="B260" s="79"/>
      <c r="C260" s="80" t="s">
        <v>64</v>
      </c>
      <c r="D260" s="81"/>
      <c r="E260" s="437">
        <v>84</v>
      </c>
      <c r="F260" s="437">
        <v>137</v>
      </c>
      <c r="G260" s="437">
        <f>SUM(G254:G259)</f>
        <v>151</v>
      </c>
      <c r="H260" s="724">
        <v>203</v>
      </c>
      <c r="I260" s="86"/>
      <c r="J260" s="421">
        <v>90.2</v>
      </c>
      <c r="K260" s="731">
        <v>78.400000000000006</v>
      </c>
      <c r="M260" s="815"/>
      <c r="O260" s="815"/>
    </row>
    <row r="261" spans="2:15" s="82" customFormat="1" ht="12.75" customHeight="1" thickTop="1" x14ac:dyDescent="0.2">
      <c r="B261" s="366"/>
      <c r="C261" s="366"/>
      <c r="D261" s="75"/>
      <c r="E261" s="442"/>
      <c r="F261" s="442"/>
      <c r="G261" s="442"/>
      <c r="H261" s="727"/>
      <c r="I261" s="97"/>
      <c r="J261" s="420"/>
      <c r="K261" s="730"/>
      <c r="L261" s="45"/>
      <c r="M261" s="815"/>
      <c r="N261" s="395"/>
      <c r="O261" s="815"/>
    </row>
    <row r="262" spans="2:15" ht="12.75" customHeight="1" x14ac:dyDescent="0.2">
      <c r="B262" s="79"/>
      <c r="C262" s="80" t="s">
        <v>65</v>
      </c>
      <c r="D262" s="81"/>
      <c r="E262" s="91">
        <v>0.28299999999999997</v>
      </c>
      <c r="F262" s="91">
        <v>0.28999999999999998</v>
      </c>
      <c r="G262" s="91">
        <f>ROUND(G254/G250,3)</f>
        <v>0.318</v>
      </c>
      <c r="H262" s="723">
        <v>0.318</v>
      </c>
      <c r="I262" s="91"/>
      <c r="J262" s="421"/>
      <c r="K262" s="731"/>
      <c r="M262" s="815"/>
      <c r="O262" s="815"/>
    </row>
    <row r="263" spans="2:15" s="82" customFormat="1" ht="12.75" customHeight="1" x14ac:dyDescent="0.2">
      <c r="B263" s="366"/>
      <c r="C263" s="83" t="s">
        <v>66</v>
      </c>
      <c r="D263" s="75"/>
      <c r="E263" s="433">
        <v>198</v>
      </c>
      <c r="F263" s="433">
        <v>356</v>
      </c>
      <c r="G263" s="433">
        <v>208</v>
      </c>
      <c r="H263" s="719">
        <v>507</v>
      </c>
      <c r="I263" s="85"/>
      <c r="J263" s="420"/>
      <c r="K263" s="730"/>
      <c r="L263" s="45"/>
      <c r="M263" s="815"/>
      <c r="N263" s="395"/>
      <c r="O263" s="815"/>
    </row>
    <row r="264" spans="2:15" ht="12.75" customHeight="1" x14ac:dyDescent="0.2">
      <c r="C264" s="366"/>
      <c r="D264" s="75"/>
      <c r="E264" s="433"/>
      <c r="F264" s="433"/>
      <c r="G264" s="433"/>
      <c r="H264" s="719"/>
      <c r="I264" s="85"/>
      <c r="J264" s="420"/>
      <c r="K264" s="730"/>
      <c r="M264" s="815"/>
      <c r="O264" s="815"/>
    </row>
    <row r="265" spans="2:15" ht="12.75" customHeight="1" x14ac:dyDescent="0.2">
      <c r="B265" s="836" t="s">
        <v>424</v>
      </c>
      <c r="C265" s="837"/>
      <c r="D265" s="75"/>
      <c r="E265" s="433"/>
      <c r="F265" s="433"/>
      <c r="G265" s="433"/>
      <c r="H265" s="719"/>
      <c r="I265" s="85"/>
      <c r="J265" s="420"/>
      <c r="K265" s="730"/>
      <c r="M265" s="815"/>
      <c r="O265" s="815"/>
    </row>
    <row r="266" spans="2:15" ht="12.75" customHeight="1" x14ac:dyDescent="0.25">
      <c r="C266" s="465" t="s">
        <v>19</v>
      </c>
      <c r="D266" s="75"/>
      <c r="E266" s="432"/>
      <c r="F266" s="432"/>
      <c r="G266" s="432"/>
      <c r="H266" s="719"/>
      <c r="I266" s="85"/>
      <c r="J266" s="420"/>
      <c r="K266" s="730"/>
      <c r="M266" s="815"/>
      <c r="O266" s="815"/>
    </row>
    <row r="267" spans="2:15" ht="12.75" customHeight="1" x14ac:dyDescent="0.2">
      <c r="C267" s="78" t="s">
        <v>20</v>
      </c>
      <c r="D267" s="75"/>
      <c r="E267" s="433">
        <v>512</v>
      </c>
      <c r="F267" s="433">
        <v>487</v>
      </c>
      <c r="G267" s="433">
        <v>460</v>
      </c>
      <c r="H267" s="719">
        <v>407</v>
      </c>
      <c r="I267" s="85"/>
      <c r="J267" s="420"/>
      <c r="K267" s="730"/>
      <c r="M267" s="815"/>
      <c r="O267" s="815"/>
    </row>
    <row r="268" spans="2:15" ht="12.75" customHeight="1" x14ac:dyDescent="0.2">
      <c r="C268" s="78" t="s">
        <v>21</v>
      </c>
      <c r="D268" s="75"/>
      <c r="E268" s="84">
        <v>43</v>
      </c>
      <c r="F268" s="84">
        <v>47</v>
      </c>
      <c r="G268" s="84">
        <v>58</v>
      </c>
      <c r="H268" s="720">
        <v>145</v>
      </c>
      <c r="I268" s="85"/>
      <c r="J268" s="420"/>
      <c r="K268" s="730"/>
      <c r="M268" s="815"/>
      <c r="O268" s="815"/>
    </row>
    <row r="269" spans="2:15" ht="12.75" customHeight="1" x14ac:dyDescent="0.2">
      <c r="C269" s="78" t="s">
        <v>22</v>
      </c>
      <c r="D269" s="75"/>
      <c r="E269" s="433">
        <v>555</v>
      </c>
      <c r="F269" s="433">
        <v>534</v>
      </c>
      <c r="G269" s="433">
        <v>518</v>
      </c>
      <c r="H269" s="719">
        <v>552</v>
      </c>
      <c r="I269" s="85"/>
      <c r="J269" s="420"/>
      <c r="K269" s="730"/>
      <c r="M269" s="815"/>
      <c r="O269" s="815"/>
    </row>
    <row r="270" spans="2:15" ht="12.75" customHeight="1" x14ac:dyDescent="0.2">
      <c r="C270" s="465" t="s">
        <v>52</v>
      </c>
      <c r="D270" s="75"/>
      <c r="E270" s="433"/>
      <c r="F270" s="433"/>
      <c r="G270" s="433"/>
      <c r="H270" s="719"/>
      <c r="I270" s="85"/>
      <c r="J270" s="420"/>
      <c r="K270" s="730"/>
      <c r="M270" s="815"/>
      <c r="O270" s="815"/>
    </row>
    <row r="271" spans="2:15" ht="12.75" customHeight="1" x14ac:dyDescent="0.2">
      <c r="C271" s="78" t="s">
        <v>20</v>
      </c>
      <c r="D271" s="75"/>
      <c r="E271" s="433">
        <v>326</v>
      </c>
      <c r="F271" s="433">
        <v>294</v>
      </c>
      <c r="G271" s="433">
        <v>277</v>
      </c>
      <c r="H271" s="719">
        <v>230</v>
      </c>
      <c r="I271" s="85"/>
      <c r="J271" s="420"/>
      <c r="K271" s="730"/>
      <c r="M271" s="815"/>
      <c r="O271" s="815"/>
    </row>
    <row r="272" spans="2:15" ht="12.75" customHeight="1" x14ac:dyDescent="0.2">
      <c r="C272" s="78" t="s">
        <v>21</v>
      </c>
      <c r="D272" s="75"/>
      <c r="E272" s="84">
        <v>945</v>
      </c>
      <c r="F272" s="84">
        <v>935</v>
      </c>
      <c r="G272" s="84">
        <v>903</v>
      </c>
      <c r="H272" s="720">
        <v>766</v>
      </c>
      <c r="I272" s="85"/>
      <c r="J272" s="420"/>
      <c r="K272" s="730"/>
      <c r="M272" s="815"/>
      <c r="O272" s="815"/>
    </row>
    <row r="273" spans="2:15" ht="12.75" customHeight="1" x14ac:dyDescent="0.2">
      <c r="C273" s="78" t="s">
        <v>22</v>
      </c>
      <c r="D273" s="75"/>
      <c r="E273" s="433">
        <v>1271</v>
      </c>
      <c r="F273" s="433">
        <v>1229</v>
      </c>
      <c r="G273" s="433">
        <v>1180</v>
      </c>
      <c r="H273" s="719">
        <v>996</v>
      </c>
      <c r="I273" s="85"/>
      <c r="J273" s="420"/>
      <c r="K273" s="730"/>
      <c r="M273" s="815"/>
      <c r="O273" s="815"/>
    </row>
    <row r="274" spans="2:15" ht="12.75" customHeight="1" x14ac:dyDescent="0.2">
      <c r="C274" s="465" t="s">
        <v>24</v>
      </c>
      <c r="D274" s="75"/>
      <c r="E274" s="433">
        <v>226</v>
      </c>
      <c r="F274" s="433">
        <v>217</v>
      </c>
      <c r="G274" s="433">
        <v>170</v>
      </c>
      <c r="H274" s="719">
        <v>161</v>
      </c>
      <c r="I274" s="85"/>
      <c r="J274" s="420"/>
      <c r="K274" s="730"/>
      <c r="M274" s="815"/>
      <c r="O274" s="815"/>
    </row>
    <row r="275" spans="2:15" ht="12.75" customHeight="1" x14ac:dyDescent="0.2">
      <c r="C275" s="465" t="s">
        <v>53</v>
      </c>
      <c r="D275" s="75"/>
      <c r="E275" s="433">
        <v>91</v>
      </c>
      <c r="F275" s="433">
        <v>0</v>
      </c>
      <c r="G275" s="433">
        <v>1</v>
      </c>
      <c r="H275" s="719">
        <v>0</v>
      </c>
      <c r="I275" s="85"/>
      <c r="J275" s="420"/>
      <c r="K275" s="730"/>
      <c r="M275" s="815"/>
      <c r="O275" s="815"/>
    </row>
    <row r="276" spans="2:15" ht="12.75" customHeight="1" x14ac:dyDescent="0.2">
      <c r="C276" s="465" t="s">
        <v>26</v>
      </c>
      <c r="D276" s="75"/>
      <c r="E276" s="84">
        <v>144</v>
      </c>
      <c r="F276" s="84">
        <v>148</v>
      </c>
      <c r="G276" s="84">
        <v>142</v>
      </c>
      <c r="H276" s="720">
        <v>146</v>
      </c>
      <c r="I276" s="85"/>
      <c r="J276" s="420"/>
      <c r="K276" s="730"/>
      <c r="M276" s="815"/>
      <c r="O276" s="815"/>
    </row>
    <row r="277" spans="2:15" ht="12.75" customHeight="1" x14ac:dyDescent="0.2">
      <c r="B277" s="79"/>
      <c r="C277" s="80" t="s">
        <v>28</v>
      </c>
      <c r="D277" s="81"/>
      <c r="E277" s="434">
        <v>2287</v>
      </c>
      <c r="F277" s="434">
        <v>2128</v>
      </c>
      <c r="G277" s="434">
        <v>2011</v>
      </c>
      <c r="H277" s="721">
        <v>1855</v>
      </c>
      <c r="I277" s="86"/>
      <c r="J277" s="421">
        <v>3.9</v>
      </c>
      <c r="K277" s="731">
        <v>4.2</v>
      </c>
      <c r="M277" s="815"/>
      <c r="O277" s="815"/>
    </row>
    <row r="278" spans="2:15" s="82" customFormat="1" ht="12.75" customHeight="1" x14ac:dyDescent="0.2">
      <c r="B278" s="366"/>
      <c r="C278" s="465" t="s">
        <v>54</v>
      </c>
      <c r="D278" s="75"/>
      <c r="E278" s="84">
        <v>370</v>
      </c>
      <c r="F278" s="84">
        <v>421</v>
      </c>
      <c r="G278" s="84">
        <v>431</v>
      </c>
      <c r="H278" s="720">
        <v>421</v>
      </c>
      <c r="I278" s="85"/>
      <c r="J278" s="420"/>
      <c r="K278" s="730"/>
      <c r="L278" s="45"/>
      <c r="M278" s="815"/>
      <c r="N278" s="395"/>
      <c r="O278" s="815"/>
    </row>
    <row r="279" spans="2:15" ht="12.75" customHeight="1" x14ac:dyDescent="0.2">
      <c r="B279" s="79"/>
      <c r="C279" s="80" t="s">
        <v>18</v>
      </c>
      <c r="D279" s="81"/>
      <c r="E279" s="434">
        <v>2657</v>
      </c>
      <c r="F279" s="434">
        <v>2549</v>
      </c>
      <c r="G279" s="434">
        <v>2442</v>
      </c>
      <c r="H279" s="721">
        <v>2276</v>
      </c>
      <c r="I279" s="86"/>
      <c r="J279" s="421">
        <v>8.1999999999999993</v>
      </c>
      <c r="K279" s="731">
        <v>7.1</v>
      </c>
      <c r="M279" s="815"/>
      <c r="O279" s="815"/>
    </row>
    <row r="280" spans="2:15" s="82" customFormat="1" ht="12.75" customHeight="1" x14ac:dyDescent="0.2">
      <c r="B280" s="366"/>
      <c r="C280" s="465" t="s">
        <v>55</v>
      </c>
      <c r="D280" s="75"/>
      <c r="E280" s="433">
        <v>-505</v>
      </c>
      <c r="F280" s="433">
        <v>-399</v>
      </c>
      <c r="G280" s="433">
        <v>-383</v>
      </c>
      <c r="H280" s="719">
        <v>-349</v>
      </c>
      <c r="I280" s="85"/>
      <c r="J280" s="420"/>
      <c r="K280" s="730"/>
      <c r="L280" s="45"/>
      <c r="M280" s="815"/>
      <c r="N280" s="395"/>
      <c r="O280" s="815"/>
    </row>
    <row r="281" spans="2:15" ht="12.75" customHeight="1" x14ac:dyDescent="0.2">
      <c r="C281" s="832" t="s">
        <v>56</v>
      </c>
      <c r="D281" s="833"/>
      <c r="E281" s="85">
        <v>-661</v>
      </c>
      <c r="F281" s="85">
        <v>-698</v>
      </c>
      <c r="G281" s="85">
        <v>-658</v>
      </c>
      <c r="H281" s="719">
        <v>-656</v>
      </c>
      <c r="I281" s="85"/>
      <c r="J281" s="420"/>
      <c r="K281" s="730"/>
      <c r="M281" s="815"/>
      <c r="O281" s="815"/>
    </row>
    <row r="282" spans="2:15" ht="12.75" customHeight="1" x14ac:dyDescent="0.2">
      <c r="C282" s="832" t="s">
        <v>57</v>
      </c>
      <c r="D282" s="833"/>
      <c r="E282" s="435">
        <v>-552</v>
      </c>
      <c r="F282" s="435">
        <v>-500</v>
      </c>
      <c r="G282" s="435">
        <v>-513</v>
      </c>
      <c r="H282" s="719">
        <v>-443</v>
      </c>
      <c r="I282" s="85"/>
      <c r="J282" s="420"/>
      <c r="K282" s="730"/>
      <c r="M282" s="815"/>
      <c r="O282" s="815"/>
    </row>
    <row r="283" spans="2:15" ht="12.75" customHeight="1" x14ac:dyDescent="0.2">
      <c r="B283" s="79"/>
      <c r="C283" s="80" t="s">
        <v>58</v>
      </c>
      <c r="D283" s="81"/>
      <c r="E283" s="440">
        <v>939</v>
      </c>
      <c r="F283" s="440">
        <v>952</v>
      </c>
      <c r="G283" s="440">
        <v>888</v>
      </c>
      <c r="H283" s="722">
        <v>828</v>
      </c>
      <c r="I283" s="86"/>
      <c r="J283" s="421">
        <v>8</v>
      </c>
      <c r="K283" s="731">
        <v>5.0999999999999996</v>
      </c>
      <c r="M283" s="815"/>
      <c r="O283" s="815"/>
    </row>
    <row r="284" spans="2:15" s="82" customFormat="1" ht="12.75" customHeight="1" x14ac:dyDescent="0.2">
      <c r="B284" s="79"/>
      <c r="C284" s="465" t="s">
        <v>59</v>
      </c>
      <c r="D284" s="81"/>
      <c r="E284" s="433"/>
      <c r="F284" s="433"/>
      <c r="G284" s="433"/>
      <c r="H284" s="719"/>
      <c r="I284" s="86"/>
      <c r="J284" s="420"/>
      <c r="K284" s="730"/>
      <c r="L284" s="45"/>
      <c r="M284" s="815"/>
      <c r="N284" s="395"/>
      <c r="O284" s="815"/>
    </row>
    <row r="285" spans="2:15" s="82" customFormat="1" ht="12.75" customHeight="1" x14ac:dyDescent="0.2">
      <c r="B285" s="366"/>
      <c r="C285" s="83" t="s">
        <v>60</v>
      </c>
      <c r="D285" s="75"/>
      <c r="E285" s="433">
        <v>-49</v>
      </c>
      <c r="F285" s="433">
        <v>-46</v>
      </c>
      <c r="G285" s="433">
        <f>634-676</f>
        <v>-42</v>
      </c>
      <c r="H285" s="719">
        <v>-37</v>
      </c>
      <c r="I285" s="85"/>
      <c r="J285" s="420"/>
      <c r="K285" s="730"/>
      <c r="L285" s="45"/>
      <c r="M285" s="815"/>
      <c r="N285" s="395"/>
      <c r="O285" s="815"/>
    </row>
    <row r="286" spans="2:15" ht="12.75" customHeight="1" x14ac:dyDescent="0.2">
      <c r="C286" s="83" t="s">
        <v>61</v>
      </c>
      <c r="D286" s="75"/>
      <c r="E286" s="433">
        <v>-1</v>
      </c>
      <c r="F286" s="433">
        <v>-1</v>
      </c>
      <c r="G286" s="433">
        <v>-2</v>
      </c>
      <c r="H286" s="719">
        <v>-2</v>
      </c>
      <c r="I286" s="85"/>
      <c r="J286" s="420"/>
      <c r="K286" s="730"/>
      <c r="M286" s="815"/>
      <c r="O286" s="815"/>
    </row>
    <row r="287" spans="2:15" ht="12.75" customHeight="1" x14ac:dyDescent="0.2">
      <c r="C287" s="83" t="s">
        <v>62</v>
      </c>
      <c r="D287" s="75"/>
      <c r="E287" s="433">
        <v>-234</v>
      </c>
      <c r="F287" s="433">
        <v>-228</v>
      </c>
      <c r="G287" s="433">
        <v>-210</v>
      </c>
      <c r="H287" s="719">
        <v>-195</v>
      </c>
      <c r="I287" s="85"/>
      <c r="J287" s="420"/>
      <c r="K287" s="730"/>
      <c r="M287" s="815"/>
      <c r="O287" s="815"/>
    </row>
    <row r="288" spans="2:15" ht="12.75" customHeight="1" x14ac:dyDescent="0.2">
      <c r="C288" s="465" t="s">
        <v>259</v>
      </c>
      <c r="D288" s="75"/>
      <c r="E288" s="433">
        <v>0</v>
      </c>
      <c r="F288" s="84">
        <v>0</v>
      </c>
      <c r="G288" s="433">
        <v>0</v>
      </c>
      <c r="H288" s="719">
        <v>0</v>
      </c>
      <c r="I288" s="85"/>
      <c r="J288" s="420"/>
      <c r="K288" s="730"/>
      <c r="M288" s="815"/>
      <c r="O288" s="815"/>
    </row>
    <row r="289" spans="2:15" ht="12.75" customHeight="1" thickBot="1" x14ac:dyDescent="0.25">
      <c r="B289" s="79"/>
      <c r="C289" s="80" t="s">
        <v>64</v>
      </c>
      <c r="D289" s="81"/>
      <c r="E289" s="437">
        <v>655</v>
      </c>
      <c r="F289" s="437">
        <v>677</v>
      </c>
      <c r="G289" s="437">
        <f>SUM(G283:G288)</f>
        <v>634</v>
      </c>
      <c r="H289" s="724">
        <v>594</v>
      </c>
      <c r="I289" s="86"/>
      <c r="J289" s="421">
        <v>10.9</v>
      </c>
      <c r="K289" s="731">
        <v>6.8</v>
      </c>
      <c r="M289" s="815"/>
      <c r="O289" s="815"/>
    </row>
    <row r="290" spans="2:15" s="82" customFormat="1" ht="12.75" customHeight="1" thickTop="1" x14ac:dyDescent="0.2">
      <c r="B290" s="366"/>
      <c r="C290" s="366"/>
      <c r="D290" s="75"/>
      <c r="E290" s="433"/>
      <c r="F290" s="433"/>
      <c r="G290" s="433"/>
      <c r="H290" s="727"/>
      <c r="I290" s="85"/>
      <c r="J290" s="420"/>
      <c r="K290" s="730"/>
      <c r="L290" s="45"/>
      <c r="M290" s="815"/>
      <c r="N290" s="395"/>
      <c r="O290" s="815"/>
    </row>
    <row r="291" spans="2:15" ht="12.75" customHeight="1" x14ac:dyDescent="0.2">
      <c r="B291" s="79"/>
      <c r="C291" s="80" t="s">
        <v>65</v>
      </c>
      <c r="D291" s="81"/>
      <c r="E291" s="91">
        <v>0.35299999999999998</v>
      </c>
      <c r="F291" s="91">
        <v>0.373</v>
      </c>
      <c r="G291" s="91">
        <f>ROUND(G283/G279,3)</f>
        <v>0.36399999999999999</v>
      </c>
      <c r="H291" s="723">
        <v>0.36399999999999999</v>
      </c>
      <c r="I291" s="91"/>
      <c r="J291" s="421"/>
      <c r="K291" s="731"/>
      <c r="M291" s="815"/>
      <c r="O291" s="815"/>
    </row>
    <row r="292" spans="2:15" s="82" customFormat="1" ht="12.75" customHeight="1" x14ac:dyDescent="0.2">
      <c r="B292" s="366"/>
      <c r="C292" s="83" t="s">
        <v>66</v>
      </c>
      <c r="D292" s="75"/>
      <c r="E292" s="433">
        <v>362</v>
      </c>
      <c r="F292" s="433">
        <v>341</v>
      </c>
      <c r="G292" s="433">
        <v>320</v>
      </c>
      <c r="H292" s="719">
        <v>343</v>
      </c>
      <c r="I292" s="85"/>
      <c r="J292" s="420"/>
      <c r="K292" s="730"/>
      <c r="L292" s="45"/>
      <c r="M292" s="815"/>
      <c r="N292" s="395"/>
      <c r="O292" s="815"/>
    </row>
    <row r="293" spans="2:15" ht="12.75" customHeight="1" x14ac:dyDescent="0.2">
      <c r="C293" s="366"/>
      <c r="D293" s="75"/>
      <c r="E293" s="433"/>
      <c r="F293" s="433"/>
      <c r="G293" s="433"/>
      <c r="H293" s="719"/>
      <c r="I293" s="85"/>
      <c r="J293" s="420"/>
      <c r="K293" s="730"/>
      <c r="M293" s="815"/>
      <c r="O293" s="815"/>
    </row>
    <row r="294" spans="2:15" ht="12.75" customHeight="1" x14ac:dyDescent="0.2">
      <c r="B294" s="839" t="s">
        <v>432</v>
      </c>
      <c r="C294" s="840"/>
      <c r="D294" s="75"/>
      <c r="E294" s="433"/>
      <c r="F294" s="433"/>
      <c r="G294" s="433"/>
      <c r="H294" s="719"/>
      <c r="I294" s="428"/>
      <c r="J294" s="420"/>
      <c r="K294" s="730"/>
      <c r="M294" s="815"/>
      <c r="O294" s="815"/>
    </row>
    <row r="295" spans="2:15" ht="12.75" customHeight="1" x14ac:dyDescent="0.25">
      <c r="B295" s="92"/>
      <c r="C295" s="465" t="s">
        <v>19</v>
      </c>
      <c r="D295" s="75"/>
      <c r="E295" s="432"/>
      <c r="F295" s="432"/>
      <c r="G295" s="432"/>
      <c r="H295" s="719"/>
      <c r="I295" s="428"/>
      <c r="J295" s="420"/>
      <c r="K295" s="730"/>
      <c r="M295" s="815"/>
      <c r="O295" s="815"/>
    </row>
    <row r="296" spans="2:15" ht="12.75" customHeight="1" x14ac:dyDescent="0.2">
      <c r="B296" s="92"/>
      <c r="C296" s="78" t="s">
        <v>20</v>
      </c>
      <c r="D296" s="75"/>
      <c r="E296" s="433">
        <v>284</v>
      </c>
      <c r="F296" s="433">
        <v>311</v>
      </c>
      <c r="G296" s="433">
        <v>319</v>
      </c>
      <c r="H296" s="719">
        <v>298</v>
      </c>
      <c r="I296" s="428"/>
      <c r="J296" s="420"/>
      <c r="K296" s="730"/>
      <c r="M296" s="815"/>
      <c r="O296" s="815"/>
    </row>
    <row r="297" spans="2:15" ht="12.75" customHeight="1" x14ac:dyDescent="0.2">
      <c r="B297" s="92"/>
      <c r="C297" s="78" t="s">
        <v>21</v>
      </c>
      <c r="D297" s="75"/>
      <c r="E297" s="84">
        <v>63</v>
      </c>
      <c r="F297" s="84">
        <v>81</v>
      </c>
      <c r="G297" s="84">
        <v>104</v>
      </c>
      <c r="H297" s="720">
        <v>100</v>
      </c>
      <c r="I297" s="428"/>
      <c r="J297" s="420"/>
      <c r="K297" s="730"/>
      <c r="M297" s="815"/>
      <c r="O297" s="815"/>
    </row>
    <row r="298" spans="2:15" ht="12.75" customHeight="1" x14ac:dyDescent="0.2">
      <c r="B298" s="92"/>
      <c r="C298" s="78" t="s">
        <v>22</v>
      </c>
      <c r="D298" s="75"/>
      <c r="E298" s="433">
        <v>347</v>
      </c>
      <c r="F298" s="433">
        <v>392</v>
      </c>
      <c r="G298" s="433">
        <v>423</v>
      </c>
      <c r="H298" s="719">
        <v>398</v>
      </c>
      <c r="I298" s="428"/>
      <c r="J298" s="420"/>
      <c r="K298" s="730"/>
      <c r="M298" s="815"/>
      <c r="O298" s="815"/>
    </row>
    <row r="299" spans="2:15" ht="12.75" customHeight="1" x14ac:dyDescent="0.2">
      <c r="B299" s="92"/>
      <c r="C299" s="465" t="s">
        <v>52</v>
      </c>
      <c r="D299" s="75"/>
      <c r="E299" s="433"/>
      <c r="F299" s="433"/>
      <c r="G299" s="433"/>
      <c r="H299" s="719"/>
      <c r="I299" s="428"/>
      <c r="J299" s="420"/>
      <c r="K299" s="730"/>
      <c r="M299" s="815"/>
      <c r="O299" s="815"/>
    </row>
    <row r="300" spans="2:15" ht="12.75" customHeight="1" x14ac:dyDescent="0.2">
      <c r="B300" s="92"/>
      <c r="C300" s="78" t="s">
        <v>20</v>
      </c>
      <c r="D300" s="75"/>
      <c r="E300" s="433">
        <v>137</v>
      </c>
      <c r="F300" s="433">
        <v>129</v>
      </c>
      <c r="G300" s="433">
        <v>131</v>
      </c>
      <c r="H300" s="719">
        <v>109</v>
      </c>
      <c r="I300" s="428"/>
      <c r="J300" s="420"/>
      <c r="K300" s="730"/>
      <c r="M300" s="815"/>
      <c r="O300" s="815"/>
    </row>
    <row r="301" spans="2:15" ht="12.75" customHeight="1" x14ac:dyDescent="0.2">
      <c r="B301" s="92"/>
      <c r="C301" s="78" t="s">
        <v>21</v>
      </c>
      <c r="D301" s="75"/>
      <c r="E301" s="84">
        <v>162</v>
      </c>
      <c r="F301" s="84">
        <v>145</v>
      </c>
      <c r="G301" s="84">
        <v>137</v>
      </c>
      <c r="H301" s="720">
        <v>99</v>
      </c>
      <c r="I301" s="428"/>
      <c r="J301" s="420"/>
      <c r="K301" s="730"/>
      <c r="M301" s="815"/>
      <c r="O301" s="815"/>
    </row>
    <row r="302" spans="2:15" ht="12.75" customHeight="1" x14ac:dyDescent="0.2">
      <c r="B302" s="92"/>
      <c r="C302" s="78" t="s">
        <v>22</v>
      </c>
      <c r="D302" s="75"/>
      <c r="E302" s="433">
        <v>299</v>
      </c>
      <c r="F302" s="433">
        <v>274</v>
      </c>
      <c r="G302" s="433">
        <v>268</v>
      </c>
      <c r="H302" s="719">
        <v>208</v>
      </c>
      <c r="I302" s="428"/>
      <c r="J302" s="420"/>
      <c r="K302" s="730"/>
      <c r="M302" s="815"/>
      <c r="O302" s="815"/>
    </row>
    <row r="303" spans="2:15" ht="12.75" customHeight="1" x14ac:dyDescent="0.2">
      <c r="B303" s="92"/>
      <c r="C303" s="465" t="s">
        <v>24</v>
      </c>
      <c r="D303" s="75"/>
      <c r="E303" s="433">
        <v>167</v>
      </c>
      <c r="F303" s="433">
        <v>183</v>
      </c>
      <c r="G303" s="433">
        <v>166</v>
      </c>
      <c r="H303" s="719">
        <v>114</v>
      </c>
      <c r="I303" s="428"/>
      <c r="J303" s="420"/>
      <c r="K303" s="730"/>
      <c r="M303" s="815"/>
      <c r="O303" s="815"/>
    </row>
    <row r="304" spans="2:15" ht="12.75" customHeight="1" x14ac:dyDescent="0.2">
      <c r="B304" s="92"/>
      <c r="C304" s="465" t="s">
        <v>53</v>
      </c>
      <c r="D304" s="75"/>
      <c r="E304" s="433">
        <v>53</v>
      </c>
      <c r="F304" s="433">
        <v>58</v>
      </c>
      <c r="G304" s="433">
        <v>66</v>
      </c>
      <c r="H304" s="719">
        <v>54</v>
      </c>
      <c r="I304" s="428"/>
      <c r="J304" s="420"/>
      <c r="K304" s="730"/>
      <c r="M304" s="815"/>
      <c r="O304" s="815"/>
    </row>
    <row r="305" spans="2:15" ht="12.75" customHeight="1" x14ac:dyDescent="0.2">
      <c r="B305" s="92"/>
      <c r="C305" s="465" t="s">
        <v>26</v>
      </c>
      <c r="D305" s="75"/>
      <c r="E305" s="84">
        <v>22</v>
      </c>
      <c r="F305" s="84">
        <v>11</v>
      </c>
      <c r="G305" s="84">
        <v>20</v>
      </c>
      <c r="H305" s="720">
        <v>14</v>
      </c>
      <c r="I305" s="428"/>
      <c r="J305" s="420"/>
      <c r="K305" s="730"/>
      <c r="M305" s="815"/>
      <c r="O305" s="815"/>
    </row>
    <row r="306" spans="2:15" ht="12.75" customHeight="1" x14ac:dyDescent="0.2">
      <c r="B306" s="93"/>
      <c r="C306" s="94" t="s">
        <v>28</v>
      </c>
      <c r="D306" s="75"/>
      <c r="E306" s="434">
        <v>888</v>
      </c>
      <c r="F306" s="434">
        <v>918</v>
      </c>
      <c r="G306" s="434">
        <v>943</v>
      </c>
      <c r="H306" s="721">
        <v>788</v>
      </c>
      <c r="I306" s="428"/>
      <c r="J306" s="421">
        <v>10.1</v>
      </c>
      <c r="K306" s="731">
        <v>5.3</v>
      </c>
      <c r="M306" s="815"/>
      <c r="O306" s="815"/>
    </row>
    <row r="307" spans="2:15" s="82" customFormat="1" ht="12.75" customHeight="1" x14ac:dyDescent="0.2">
      <c r="B307" s="92"/>
      <c r="C307" s="95" t="s">
        <v>54</v>
      </c>
      <c r="D307" s="75"/>
      <c r="E307" s="84">
        <v>53</v>
      </c>
      <c r="F307" s="84">
        <v>89</v>
      </c>
      <c r="G307" s="84">
        <v>121</v>
      </c>
      <c r="H307" s="720">
        <v>165</v>
      </c>
      <c r="I307" s="428"/>
      <c r="J307" s="420"/>
      <c r="K307" s="730"/>
      <c r="L307" s="45"/>
      <c r="M307" s="815"/>
      <c r="N307" s="395"/>
      <c r="O307" s="815"/>
    </row>
    <row r="308" spans="2:15" ht="12.75" customHeight="1" x14ac:dyDescent="0.2">
      <c r="B308" s="93"/>
      <c r="C308" s="94" t="s">
        <v>18</v>
      </c>
      <c r="D308" s="75"/>
      <c r="E308" s="434">
        <v>941</v>
      </c>
      <c r="F308" s="434">
        <v>1007</v>
      </c>
      <c r="G308" s="434">
        <v>1064</v>
      </c>
      <c r="H308" s="721">
        <v>953</v>
      </c>
      <c r="I308" s="428"/>
      <c r="J308" s="421">
        <v>17.2</v>
      </c>
      <c r="K308" s="731">
        <v>16.100000000000001</v>
      </c>
      <c r="M308" s="815"/>
      <c r="O308" s="815"/>
    </row>
    <row r="309" spans="2:15" s="82" customFormat="1" ht="12.75" customHeight="1" x14ac:dyDescent="0.2">
      <c r="B309" s="92"/>
      <c r="C309" s="95" t="s">
        <v>55</v>
      </c>
      <c r="D309" s="75"/>
      <c r="E309" s="433">
        <v>-396</v>
      </c>
      <c r="F309" s="433">
        <v>-415</v>
      </c>
      <c r="G309" s="433">
        <v>-410</v>
      </c>
      <c r="H309" s="719">
        <v>-327</v>
      </c>
      <c r="I309" s="428"/>
      <c r="J309" s="420"/>
      <c r="K309" s="730"/>
      <c r="L309" s="45"/>
      <c r="M309" s="815"/>
      <c r="N309" s="395"/>
      <c r="O309" s="815"/>
    </row>
    <row r="310" spans="2:15" ht="12.75" customHeight="1" x14ac:dyDescent="0.2">
      <c r="B310" s="92"/>
      <c r="C310" s="832" t="s">
        <v>56</v>
      </c>
      <c r="D310" s="833"/>
      <c r="E310" s="433">
        <v>-139</v>
      </c>
      <c r="F310" s="433">
        <v>-178</v>
      </c>
      <c r="G310" s="433">
        <v>-214</v>
      </c>
      <c r="H310" s="719">
        <v>-237</v>
      </c>
      <c r="I310" s="428"/>
      <c r="J310" s="420"/>
      <c r="K310" s="730"/>
      <c r="M310" s="815"/>
      <c r="O310" s="815"/>
    </row>
    <row r="311" spans="2:15" ht="12.75" customHeight="1" x14ac:dyDescent="0.2">
      <c r="B311" s="92"/>
      <c r="C311" s="832" t="s">
        <v>57</v>
      </c>
      <c r="D311" s="833"/>
      <c r="E311" s="433">
        <v>-247</v>
      </c>
      <c r="F311" s="433">
        <v>-251</v>
      </c>
      <c r="G311" s="433">
        <v>-254</v>
      </c>
      <c r="H311" s="719">
        <v>-217</v>
      </c>
      <c r="I311" s="428"/>
      <c r="J311" s="420"/>
      <c r="K311" s="730"/>
      <c r="M311" s="815"/>
      <c r="O311" s="815"/>
    </row>
    <row r="312" spans="2:15" ht="12.75" customHeight="1" x14ac:dyDescent="0.2">
      <c r="B312" s="93"/>
      <c r="C312" s="94" t="s">
        <v>58</v>
      </c>
      <c r="D312" s="75"/>
      <c r="E312" s="440">
        <v>159</v>
      </c>
      <c r="F312" s="440">
        <v>163</v>
      </c>
      <c r="G312" s="440">
        <v>186</v>
      </c>
      <c r="H312" s="722">
        <v>172</v>
      </c>
      <c r="I312" s="428"/>
      <c r="J312" s="421">
        <v>23.9</v>
      </c>
      <c r="K312" s="731">
        <v>29.5</v>
      </c>
      <c r="M312" s="815"/>
      <c r="O312" s="815"/>
    </row>
    <row r="313" spans="2:15" s="82" customFormat="1" ht="12.75" customHeight="1" x14ac:dyDescent="0.2">
      <c r="B313" s="93"/>
      <c r="C313" s="95" t="s">
        <v>59</v>
      </c>
      <c r="D313" s="75"/>
      <c r="E313" s="433"/>
      <c r="F313" s="433"/>
      <c r="G313" s="433"/>
      <c r="H313" s="719"/>
      <c r="I313" s="428"/>
      <c r="J313" s="420"/>
      <c r="K313" s="730"/>
      <c r="L313" s="45"/>
      <c r="M313" s="815"/>
      <c r="N313" s="395"/>
      <c r="O313" s="815"/>
    </row>
    <row r="314" spans="2:15" ht="12.75" customHeight="1" x14ac:dyDescent="0.2">
      <c r="B314" s="92"/>
      <c r="C314" s="96" t="s">
        <v>60</v>
      </c>
      <c r="D314" s="75"/>
      <c r="E314" s="433">
        <v>-19</v>
      </c>
      <c r="F314" s="433">
        <v>-19</v>
      </c>
      <c r="G314" s="433">
        <v>-19</v>
      </c>
      <c r="H314" s="719">
        <v>-15</v>
      </c>
      <c r="I314" s="428"/>
      <c r="J314" s="420"/>
      <c r="K314" s="730"/>
      <c r="M314" s="815"/>
      <c r="O314" s="815"/>
    </row>
    <row r="315" spans="2:15" ht="12.75" customHeight="1" x14ac:dyDescent="0.2">
      <c r="B315" s="92"/>
      <c r="C315" s="96" t="s">
        <v>61</v>
      </c>
      <c r="D315" s="75"/>
      <c r="E315" s="433">
        <v>-5</v>
      </c>
      <c r="F315" s="433">
        <v>-5</v>
      </c>
      <c r="G315" s="433">
        <v>-5</v>
      </c>
      <c r="H315" s="719">
        <v>-4</v>
      </c>
      <c r="I315" s="428"/>
      <c r="J315" s="420"/>
      <c r="K315" s="730"/>
      <c r="M315" s="815"/>
      <c r="O315" s="815"/>
    </row>
    <row r="316" spans="2:15" ht="12.75" customHeight="1" x14ac:dyDescent="0.2">
      <c r="B316" s="92"/>
      <c r="C316" s="96" t="s">
        <v>62</v>
      </c>
      <c r="D316" s="75"/>
      <c r="E316" s="433">
        <v>-123</v>
      </c>
      <c r="F316" s="433">
        <v>-136</v>
      </c>
      <c r="G316" s="433">
        <v>-131</v>
      </c>
      <c r="H316" s="719">
        <v>-123</v>
      </c>
      <c r="I316" s="428"/>
      <c r="J316" s="420"/>
      <c r="K316" s="730"/>
      <c r="M316" s="815"/>
      <c r="O316" s="815"/>
    </row>
    <row r="317" spans="2:15" ht="12.75" customHeight="1" x14ac:dyDescent="0.2">
      <c r="B317" s="92"/>
      <c r="C317" s="465" t="s">
        <v>259</v>
      </c>
      <c r="D317" s="75"/>
      <c r="E317" s="84">
        <v>0</v>
      </c>
      <c r="F317" s="84">
        <v>0</v>
      </c>
      <c r="G317" s="433">
        <v>0</v>
      </c>
      <c r="H317" s="719">
        <v>0</v>
      </c>
      <c r="I317" s="428"/>
      <c r="J317" s="420"/>
      <c r="K317" s="730"/>
      <c r="M317" s="815"/>
      <c r="O317" s="815"/>
    </row>
    <row r="318" spans="2:15" ht="12.75" customHeight="1" thickBot="1" x14ac:dyDescent="0.25">
      <c r="B318" s="93"/>
      <c r="C318" s="94" t="s">
        <v>64</v>
      </c>
      <c r="D318" s="75"/>
      <c r="E318" s="437">
        <v>12</v>
      </c>
      <c r="F318" s="437">
        <v>3</v>
      </c>
      <c r="G318" s="437">
        <f>SUM(G312:G317)</f>
        <v>31</v>
      </c>
      <c r="H318" s="724">
        <v>30</v>
      </c>
      <c r="I318" s="428"/>
      <c r="J318" s="421">
        <v>291.8</v>
      </c>
      <c r="K318" s="731">
        <v>1446.3</v>
      </c>
      <c r="M318" s="815"/>
      <c r="O318" s="815"/>
    </row>
    <row r="319" spans="2:15" s="82" customFormat="1" ht="12.75" customHeight="1" thickTop="1" x14ac:dyDescent="0.2">
      <c r="B319" s="92"/>
      <c r="C319" s="72"/>
      <c r="D319" s="75"/>
      <c r="E319" s="438"/>
      <c r="F319" s="438"/>
      <c r="G319" s="438"/>
      <c r="H319" s="727"/>
      <c r="I319" s="428"/>
      <c r="J319" s="420"/>
      <c r="K319" s="730"/>
      <c r="L319" s="45"/>
      <c r="M319" s="815"/>
      <c r="N319" s="395"/>
      <c r="O319" s="815"/>
    </row>
    <row r="320" spans="2:15" ht="12.75" customHeight="1" x14ac:dyDescent="0.2">
      <c r="B320" s="93"/>
      <c r="C320" s="94" t="s">
        <v>65</v>
      </c>
      <c r="D320" s="75"/>
      <c r="E320" s="91">
        <v>0.16900000000000001</v>
      </c>
      <c r="F320" s="91">
        <v>0.16200000000000001</v>
      </c>
      <c r="G320" s="91">
        <f>ROUND(G312/G308,3)</f>
        <v>0.17499999999999999</v>
      </c>
      <c r="H320" s="723">
        <v>0.18</v>
      </c>
      <c r="I320" s="428"/>
      <c r="J320" s="421"/>
      <c r="K320" s="731"/>
      <c r="M320" s="815"/>
      <c r="O320" s="815"/>
    </row>
    <row r="321" spans="2:15" s="82" customFormat="1" ht="12.75" customHeight="1" x14ac:dyDescent="0.2">
      <c r="B321" s="92"/>
      <c r="C321" s="96" t="s">
        <v>66</v>
      </c>
      <c r="D321" s="75"/>
      <c r="E321" s="433">
        <v>87</v>
      </c>
      <c r="F321" s="433">
        <v>160</v>
      </c>
      <c r="G321" s="433">
        <v>90</v>
      </c>
      <c r="H321" s="719">
        <v>162</v>
      </c>
      <c r="I321" s="428"/>
      <c r="J321" s="420"/>
      <c r="K321" s="730"/>
      <c r="L321" s="45"/>
      <c r="M321" s="815"/>
      <c r="N321" s="395"/>
      <c r="O321" s="815"/>
    </row>
    <row r="322" spans="2:15" ht="12.75" customHeight="1" x14ac:dyDescent="0.2">
      <c r="B322" s="92"/>
      <c r="C322" s="96"/>
      <c r="D322" s="75"/>
      <c r="E322" s="441"/>
      <c r="F322" s="441"/>
      <c r="G322" s="441"/>
      <c r="H322" s="726"/>
      <c r="I322" s="428"/>
      <c r="J322" s="420"/>
      <c r="K322" s="730"/>
      <c r="M322" s="815"/>
      <c r="O322" s="815"/>
    </row>
    <row r="323" spans="2:15" ht="14.25" customHeight="1" x14ac:dyDescent="0.2">
      <c r="B323" s="836" t="s">
        <v>156</v>
      </c>
      <c r="C323" s="836"/>
      <c r="D323" s="836"/>
      <c r="E323" s="836"/>
      <c r="F323" s="443"/>
      <c r="G323" s="443"/>
      <c r="H323" s="719"/>
      <c r="I323" s="85"/>
      <c r="J323" s="420"/>
      <c r="K323" s="730"/>
      <c r="M323" s="815"/>
      <c r="O323" s="815"/>
    </row>
    <row r="324" spans="2:15" ht="12.75" customHeight="1" x14ac:dyDescent="0.25">
      <c r="C324" s="465" t="s">
        <v>19</v>
      </c>
      <c r="D324" s="75"/>
      <c r="E324" s="432"/>
      <c r="F324" s="432"/>
      <c r="G324" s="432"/>
      <c r="H324" s="719"/>
      <c r="I324" s="85"/>
      <c r="J324" s="420"/>
      <c r="K324" s="730"/>
      <c r="M324" s="815"/>
      <c r="O324" s="815"/>
    </row>
    <row r="325" spans="2:15" ht="12.75" customHeight="1" x14ac:dyDescent="0.2">
      <c r="C325" s="78" t="s">
        <v>20</v>
      </c>
      <c r="D325" s="75"/>
      <c r="E325" s="433">
        <v>726</v>
      </c>
      <c r="F325" s="433">
        <v>770</v>
      </c>
      <c r="G325" s="433">
        <v>762</v>
      </c>
      <c r="H325" s="719">
        <v>731</v>
      </c>
      <c r="I325" s="85"/>
      <c r="J325" s="420"/>
      <c r="K325" s="730"/>
      <c r="M325" s="815"/>
      <c r="O325" s="815"/>
    </row>
    <row r="326" spans="2:15" ht="12.75" customHeight="1" x14ac:dyDescent="0.2">
      <c r="C326" s="78" t="s">
        <v>21</v>
      </c>
      <c r="D326" s="75"/>
      <c r="E326" s="84">
        <v>198</v>
      </c>
      <c r="F326" s="84">
        <v>211</v>
      </c>
      <c r="G326" s="84">
        <v>252</v>
      </c>
      <c r="H326" s="720">
        <v>259</v>
      </c>
      <c r="I326" s="85"/>
      <c r="J326" s="420"/>
      <c r="K326" s="730"/>
      <c r="M326" s="815"/>
      <c r="O326" s="815"/>
    </row>
    <row r="327" spans="2:15" ht="12.75" customHeight="1" x14ac:dyDescent="0.2">
      <c r="C327" s="78" t="s">
        <v>22</v>
      </c>
      <c r="D327" s="75"/>
      <c r="E327" s="433">
        <v>924</v>
      </c>
      <c r="F327" s="433">
        <v>981</v>
      </c>
      <c r="G327" s="433">
        <v>1014</v>
      </c>
      <c r="H327" s="719">
        <v>990</v>
      </c>
      <c r="I327" s="85"/>
      <c r="J327" s="420"/>
      <c r="K327" s="730"/>
      <c r="M327" s="815"/>
      <c r="O327" s="815"/>
    </row>
    <row r="328" spans="2:15" ht="12.75" customHeight="1" x14ac:dyDescent="0.2">
      <c r="C328" s="465" t="s">
        <v>52</v>
      </c>
      <c r="D328" s="75"/>
      <c r="E328" s="433"/>
      <c r="F328" s="433"/>
      <c r="G328" s="433"/>
      <c r="H328" s="719"/>
      <c r="I328" s="85"/>
      <c r="J328" s="420"/>
      <c r="K328" s="730"/>
      <c r="M328" s="815"/>
      <c r="O328" s="815"/>
    </row>
    <row r="329" spans="2:15" ht="12.75" customHeight="1" x14ac:dyDescent="0.2">
      <c r="C329" s="78" t="s">
        <v>20</v>
      </c>
      <c r="D329" s="75"/>
      <c r="E329" s="433">
        <v>374</v>
      </c>
      <c r="F329" s="433">
        <v>363</v>
      </c>
      <c r="G329" s="433">
        <v>364</v>
      </c>
      <c r="H329" s="719">
        <v>309</v>
      </c>
      <c r="I329" s="85"/>
      <c r="J329" s="420"/>
      <c r="K329" s="730"/>
      <c r="M329" s="815"/>
      <c r="O329" s="815"/>
    </row>
    <row r="330" spans="2:15" ht="12.75" customHeight="1" x14ac:dyDescent="0.2">
      <c r="C330" s="78" t="s">
        <v>21</v>
      </c>
      <c r="D330" s="75"/>
      <c r="E330" s="84">
        <v>693</v>
      </c>
      <c r="F330" s="84">
        <v>660</v>
      </c>
      <c r="G330" s="84">
        <v>608</v>
      </c>
      <c r="H330" s="720">
        <v>515</v>
      </c>
      <c r="I330" s="85"/>
      <c r="J330" s="420"/>
      <c r="K330" s="730"/>
      <c r="M330" s="815"/>
      <c r="O330" s="815"/>
    </row>
    <row r="331" spans="2:15" ht="12.75" customHeight="1" x14ac:dyDescent="0.2">
      <c r="C331" s="78" t="s">
        <v>22</v>
      </c>
      <c r="D331" s="75"/>
      <c r="E331" s="433">
        <v>1067</v>
      </c>
      <c r="F331" s="433">
        <v>1023</v>
      </c>
      <c r="G331" s="433">
        <v>972</v>
      </c>
      <c r="H331" s="719">
        <v>824</v>
      </c>
      <c r="I331" s="85"/>
      <c r="J331" s="420"/>
      <c r="K331" s="730"/>
      <c r="M331" s="815"/>
      <c r="O331" s="815"/>
    </row>
    <row r="332" spans="2:15" ht="12.75" customHeight="1" x14ac:dyDescent="0.2">
      <c r="C332" s="465" t="s">
        <v>24</v>
      </c>
      <c r="D332" s="75"/>
      <c r="E332" s="433">
        <v>409</v>
      </c>
      <c r="F332" s="433">
        <v>428</v>
      </c>
      <c r="G332" s="433">
        <v>394</v>
      </c>
      <c r="H332" s="719">
        <v>321</v>
      </c>
      <c r="I332" s="85"/>
      <c r="J332" s="420"/>
      <c r="K332" s="730"/>
      <c r="M332" s="815"/>
      <c r="O332" s="815"/>
    </row>
    <row r="333" spans="2:15" ht="12.75" customHeight="1" x14ac:dyDescent="0.2">
      <c r="C333" s="465" t="s">
        <v>53</v>
      </c>
      <c r="D333" s="75"/>
      <c r="E333" s="433">
        <v>152</v>
      </c>
      <c r="F333" s="433">
        <v>300</v>
      </c>
      <c r="G333" s="433">
        <v>324</v>
      </c>
      <c r="H333" s="719">
        <v>308</v>
      </c>
      <c r="I333" s="85"/>
      <c r="J333" s="420"/>
      <c r="K333" s="730"/>
      <c r="M333" s="815"/>
      <c r="O333" s="815"/>
    </row>
    <row r="334" spans="2:15" ht="12.75" customHeight="1" x14ac:dyDescent="0.2">
      <c r="C334" s="465" t="s">
        <v>26</v>
      </c>
      <c r="D334" s="75"/>
      <c r="E334" s="84">
        <v>80</v>
      </c>
      <c r="F334" s="84">
        <v>75</v>
      </c>
      <c r="G334" s="84">
        <v>77</v>
      </c>
      <c r="H334" s="720">
        <v>71</v>
      </c>
      <c r="I334" s="85"/>
      <c r="J334" s="420"/>
      <c r="K334" s="730"/>
      <c r="M334" s="815"/>
      <c r="O334" s="815"/>
    </row>
    <row r="335" spans="2:15" ht="12.75" customHeight="1" x14ac:dyDescent="0.2">
      <c r="B335" s="79"/>
      <c r="C335" s="80" t="s">
        <v>28</v>
      </c>
      <c r="D335" s="81"/>
      <c r="E335" s="434">
        <v>2632</v>
      </c>
      <c r="F335" s="434">
        <v>2807</v>
      </c>
      <c r="G335" s="434">
        <v>2781</v>
      </c>
      <c r="H335" s="721">
        <v>2514</v>
      </c>
      <c r="I335" s="86"/>
      <c r="J335" s="421">
        <v>3.5</v>
      </c>
      <c r="K335" s="731">
        <v>2.1</v>
      </c>
      <c r="M335" s="815"/>
      <c r="O335" s="815"/>
    </row>
    <row r="336" spans="2:15" ht="12.75" customHeight="1" x14ac:dyDescent="0.2">
      <c r="C336" s="465" t="s">
        <v>54</v>
      </c>
      <c r="D336" s="75"/>
      <c r="E336" s="84">
        <v>204</v>
      </c>
      <c r="F336" s="84">
        <v>241</v>
      </c>
      <c r="G336" s="84">
        <v>256</v>
      </c>
      <c r="H336" s="720">
        <v>309</v>
      </c>
      <c r="I336" s="85"/>
      <c r="J336" s="420"/>
      <c r="K336" s="730"/>
      <c r="M336" s="815"/>
      <c r="O336" s="815"/>
    </row>
    <row r="337" spans="2:15" s="82" customFormat="1" ht="12.75" customHeight="1" x14ac:dyDescent="0.2">
      <c r="B337" s="79"/>
      <c r="C337" s="80" t="s">
        <v>18</v>
      </c>
      <c r="D337" s="81"/>
      <c r="E337" s="434">
        <v>2836</v>
      </c>
      <c r="F337" s="434">
        <v>3048</v>
      </c>
      <c r="G337" s="434">
        <v>3037</v>
      </c>
      <c r="H337" s="721">
        <v>2823</v>
      </c>
      <c r="I337" s="86"/>
      <c r="J337" s="421">
        <v>5.2</v>
      </c>
      <c r="K337" s="731">
        <v>5.6</v>
      </c>
      <c r="L337" s="45"/>
      <c r="M337" s="815"/>
      <c r="N337" s="395"/>
      <c r="O337" s="815"/>
    </row>
    <row r="338" spans="2:15" ht="12.75" customHeight="1" x14ac:dyDescent="0.2">
      <c r="C338" s="465" t="s">
        <v>55</v>
      </c>
      <c r="D338" s="75"/>
      <c r="E338" s="433">
        <v>-986</v>
      </c>
      <c r="F338" s="433">
        <v>-1077</v>
      </c>
      <c r="G338" s="433">
        <v>-1022</v>
      </c>
      <c r="H338" s="719">
        <v>-909</v>
      </c>
      <c r="I338" s="85"/>
      <c r="J338" s="420"/>
      <c r="K338" s="730"/>
      <c r="M338" s="815"/>
      <c r="O338" s="815"/>
    </row>
    <row r="339" spans="2:15" s="82" customFormat="1" ht="12.75" customHeight="1" x14ac:dyDescent="0.2">
      <c r="B339" s="366"/>
      <c r="C339" s="832" t="s">
        <v>56</v>
      </c>
      <c r="D339" s="833"/>
      <c r="E339" s="433">
        <v>-421</v>
      </c>
      <c r="F339" s="433">
        <v>-446</v>
      </c>
      <c r="G339" s="433">
        <v>-462</v>
      </c>
      <c r="H339" s="719">
        <v>-484</v>
      </c>
      <c r="I339" s="85"/>
      <c r="J339" s="420"/>
      <c r="K339" s="730"/>
      <c r="L339" s="45"/>
      <c r="M339" s="815"/>
      <c r="N339" s="395"/>
      <c r="O339" s="815"/>
    </row>
    <row r="340" spans="2:15" ht="12.75" customHeight="1" x14ac:dyDescent="0.2">
      <c r="C340" s="832" t="s">
        <v>57</v>
      </c>
      <c r="D340" s="833"/>
      <c r="E340" s="433">
        <v>-790</v>
      </c>
      <c r="F340" s="433">
        <v>-763</v>
      </c>
      <c r="G340" s="433">
        <v>-739</v>
      </c>
      <c r="H340" s="719">
        <v>-677</v>
      </c>
      <c r="I340" s="85"/>
      <c r="J340" s="420"/>
      <c r="K340" s="730"/>
      <c r="M340" s="815"/>
      <c r="O340" s="815"/>
    </row>
    <row r="341" spans="2:15" ht="12.75" customHeight="1" x14ac:dyDescent="0.2">
      <c r="B341" s="79"/>
      <c r="C341" s="80" t="s">
        <v>58</v>
      </c>
      <c r="D341" s="81"/>
      <c r="E341" s="440">
        <v>639</v>
      </c>
      <c r="F341" s="440">
        <v>762</v>
      </c>
      <c r="G341" s="440">
        <v>814</v>
      </c>
      <c r="H341" s="722">
        <v>753</v>
      </c>
      <c r="I341" s="86"/>
      <c r="J341" s="421">
        <v>27.4</v>
      </c>
      <c r="K341" s="731">
        <v>11.6</v>
      </c>
      <c r="M341" s="815"/>
      <c r="O341" s="815"/>
    </row>
    <row r="342" spans="2:15" ht="12.75" customHeight="1" x14ac:dyDescent="0.2">
      <c r="B342" s="79"/>
      <c r="C342" s="465" t="s">
        <v>59</v>
      </c>
      <c r="D342" s="81"/>
      <c r="E342" s="45"/>
      <c r="F342" s="45"/>
      <c r="G342" s="45"/>
      <c r="H342" s="719"/>
      <c r="I342" s="86"/>
      <c r="J342" s="420"/>
      <c r="K342" s="730"/>
      <c r="M342" s="815"/>
      <c r="O342" s="815"/>
    </row>
    <row r="343" spans="2:15" s="82" customFormat="1" ht="12.75" customHeight="1" x14ac:dyDescent="0.2">
      <c r="B343" s="366"/>
      <c r="C343" s="83" t="s">
        <v>60</v>
      </c>
      <c r="D343" s="75"/>
      <c r="E343" s="433">
        <v>-31</v>
      </c>
      <c r="F343" s="433">
        <v>-30</v>
      </c>
      <c r="G343" s="433">
        <f>276-305</f>
        <v>-29</v>
      </c>
      <c r="H343" s="719">
        <v>-26</v>
      </c>
      <c r="I343" s="85"/>
      <c r="J343" s="420"/>
      <c r="K343" s="730"/>
      <c r="L343" s="45"/>
      <c r="M343" s="815"/>
      <c r="N343" s="395"/>
      <c r="O343" s="815"/>
    </row>
    <row r="344" spans="2:15" s="82" customFormat="1" ht="12.75" customHeight="1" x14ac:dyDescent="0.2">
      <c r="B344" s="366"/>
      <c r="C344" s="83" t="s">
        <v>61</v>
      </c>
      <c r="D344" s="75"/>
      <c r="E344" s="433">
        <v>-64</v>
      </c>
      <c r="F344" s="433">
        <v>-70</v>
      </c>
      <c r="G344" s="433">
        <v>-70</v>
      </c>
      <c r="H344" s="719">
        <v>-69</v>
      </c>
      <c r="I344" s="85"/>
      <c r="J344" s="420"/>
      <c r="K344" s="730"/>
      <c r="L344" s="45"/>
      <c r="M344" s="815"/>
      <c r="N344" s="395"/>
      <c r="O344" s="815"/>
    </row>
    <row r="345" spans="2:15" ht="12.75" customHeight="1" x14ac:dyDescent="0.2">
      <c r="C345" s="83" t="s">
        <v>62</v>
      </c>
      <c r="D345" s="75"/>
      <c r="E345" s="433">
        <v>-420</v>
      </c>
      <c r="F345" s="433">
        <v>-498</v>
      </c>
      <c r="G345" s="433">
        <v>-473</v>
      </c>
      <c r="H345" s="719">
        <v>-457</v>
      </c>
      <c r="I345" s="85"/>
      <c r="J345" s="420"/>
      <c r="K345" s="730"/>
      <c r="M345" s="815"/>
      <c r="O345" s="815"/>
    </row>
    <row r="346" spans="2:15" ht="12.75" customHeight="1" x14ac:dyDescent="0.2">
      <c r="C346" s="465" t="s">
        <v>259</v>
      </c>
      <c r="D346" s="75"/>
      <c r="E346" s="433">
        <v>23</v>
      </c>
      <c r="F346" s="84">
        <v>29</v>
      </c>
      <c r="G346" s="433">
        <v>34</v>
      </c>
      <c r="H346" s="719">
        <v>33</v>
      </c>
      <c r="I346" s="85"/>
      <c r="J346" s="420"/>
      <c r="K346" s="730"/>
      <c r="M346" s="815"/>
      <c r="O346" s="815"/>
    </row>
    <row r="347" spans="2:15" ht="12.75" customHeight="1" thickBot="1" x14ac:dyDescent="0.25">
      <c r="B347" s="79"/>
      <c r="C347" s="80" t="s">
        <v>64</v>
      </c>
      <c r="D347" s="81"/>
      <c r="E347" s="437">
        <v>147</v>
      </c>
      <c r="F347" s="437">
        <v>193</v>
      </c>
      <c r="G347" s="437">
        <f>SUM(G341:G346)</f>
        <v>276</v>
      </c>
      <c r="H347" s="724">
        <v>234</v>
      </c>
      <c r="I347" s="86"/>
      <c r="J347" s="421">
        <v>106.1</v>
      </c>
      <c r="K347" s="731">
        <v>35.700000000000003</v>
      </c>
      <c r="M347" s="815"/>
      <c r="O347" s="815"/>
    </row>
    <row r="348" spans="2:15" ht="12.75" customHeight="1" thickTop="1" x14ac:dyDescent="0.2">
      <c r="C348" s="366"/>
      <c r="D348" s="75"/>
      <c r="E348" s="438"/>
      <c r="F348" s="438"/>
      <c r="G348" s="438"/>
      <c r="H348" s="725"/>
      <c r="I348" s="90"/>
      <c r="J348" s="423"/>
      <c r="K348" s="733"/>
      <c r="M348" s="815"/>
      <c r="O348" s="815"/>
    </row>
    <row r="349" spans="2:15" s="82" customFormat="1" ht="12.75" customHeight="1" x14ac:dyDescent="0.2">
      <c r="B349" s="79"/>
      <c r="C349" s="80" t="s">
        <v>65</v>
      </c>
      <c r="D349" s="81"/>
      <c r="E349" s="91">
        <v>0.22500000000000001</v>
      </c>
      <c r="F349" s="91">
        <v>0.25</v>
      </c>
      <c r="G349" s="91">
        <f>ROUND(G341/G337,3)</f>
        <v>0.26800000000000002</v>
      </c>
      <c r="H349" s="723">
        <v>0.26700000000000002</v>
      </c>
      <c r="I349" s="91"/>
      <c r="J349" s="420"/>
      <c r="K349" s="730"/>
      <c r="L349" s="45"/>
      <c r="M349" s="815"/>
      <c r="N349" s="395"/>
      <c r="O349" s="815"/>
    </row>
    <row r="350" spans="2:15" ht="12.75" customHeight="1" x14ac:dyDescent="0.2">
      <c r="C350" s="83" t="s">
        <v>66</v>
      </c>
      <c r="D350" s="75"/>
      <c r="E350" s="433">
        <v>409</v>
      </c>
      <c r="F350" s="433">
        <v>558</v>
      </c>
      <c r="G350" s="433">
        <v>403</v>
      </c>
      <c r="H350" s="719">
        <v>566</v>
      </c>
      <c r="I350" s="85"/>
      <c r="J350" s="420"/>
      <c r="K350" s="730"/>
      <c r="M350" s="815"/>
      <c r="O350" s="815"/>
    </row>
    <row r="351" spans="2:15" ht="12.75" customHeight="1" x14ac:dyDescent="0.2">
      <c r="C351" s="83"/>
      <c r="D351" s="366"/>
      <c r="E351" s="429"/>
      <c r="F351" s="429"/>
      <c r="G351" s="369"/>
      <c r="H351" s="369"/>
      <c r="I351" s="429"/>
      <c r="J351" s="219"/>
      <c r="K351" s="219"/>
      <c r="M351" s="815"/>
      <c r="O351" s="815"/>
    </row>
    <row r="352" spans="2:15" ht="12.75" customHeight="1" x14ac:dyDescent="0.2">
      <c r="C352" s="83"/>
      <c r="D352" s="366"/>
      <c r="E352" s="429"/>
      <c r="F352" s="429"/>
      <c r="G352" s="369"/>
      <c r="H352" s="369"/>
      <c r="I352" s="429"/>
      <c r="J352" s="219"/>
      <c r="K352" s="219"/>
      <c r="M352" s="815"/>
      <c r="O352" s="815"/>
    </row>
    <row r="353" spans="2:15" ht="12.75" customHeight="1" x14ac:dyDescent="0.2">
      <c r="B353" s="832" t="s">
        <v>40</v>
      </c>
      <c r="C353" s="832"/>
      <c r="D353" s="366"/>
      <c r="E353" s="235"/>
      <c r="F353" s="235"/>
      <c r="G353" s="219"/>
      <c r="H353" s="219"/>
      <c r="I353" s="235"/>
      <c r="J353" s="219"/>
      <c r="K353" s="219"/>
      <c r="L353" s="395"/>
      <c r="M353" s="815"/>
      <c r="O353" s="815"/>
    </row>
    <row r="354" spans="2:15" ht="12.75" customHeight="1" x14ac:dyDescent="0.2">
      <c r="B354" s="368" t="s">
        <v>41</v>
      </c>
      <c r="C354" s="835" t="s">
        <v>456</v>
      </c>
      <c r="D354" s="835"/>
      <c r="E354" s="835"/>
      <c r="F354" s="835"/>
      <c r="G354" s="835"/>
      <c r="H354" s="835"/>
      <c r="I354" s="835"/>
      <c r="J354" s="395"/>
      <c r="K354" s="395"/>
      <c r="L354" s="395"/>
      <c r="M354" s="815"/>
      <c r="O354" s="815"/>
    </row>
    <row r="355" spans="2:15" ht="12.75" customHeight="1" x14ac:dyDescent="0.2">
      <c r="B355" s="63" t="s">
        <v>43</v>
      </c>
      <c r="C355" s="829" t="s">
        <v>262</v>
      </c>
      <c r="D355" s="829"/>
      <c r="E355" s="829"/>
      <c r="F355" s="829"/>
      <c r="G355" s="829"/>
      <c r="H355" s="829"/>
      <c r="I355" s="829"/>
      <c r="J355" s="829"/>
      <c r="K355" s="669"/>
      <c r="L355" s="395"/>
      <c r="M355" s="815"/>
      <c r="O355" s="815"/>
    </row>
    <row r="356" spans="2:15" ht="12.75" customHeight="1" x14ac:dyDescent="0.2">
      <c r="B356" s="63"/>
      <c r="C356" s="829"/>
      <c r="D356" s="829"/>
      <c r="E356" s="829"/>
      <c r="F356" s="829"/>
      <c r="G356" s="829"/>
      <c r="H356" s="829"/>
      <c r="I356" s="829"/>
      <c r="J356" s="829"/>
      <c r="K356" s="669"/>
      <c r="L356" s="395"/>
      <c r="M356" s="815"/>
      <c r="O356" s="815"/>
    </row>
    <row r="357" spans="2:15" ht="12.75" customHeight="1" x14ac:dyDescent="0.2">
      <c r="B357" s="63"/>
      <c r="C357" s="829"/>
      <c r="D357" s="829"/>
      <c r="E357" s="829"/>
      <c r="F357" s="829"/>
      <c r="G357" s="829"/>
      <c r="H357" s="829"/>
      <c r="I357" s="829"/>
      <c r="J357" s="829"/>
      <c r="K357" s="669"/>
      <c r="L357" s="395"/>
      <c r="M357" s="815"/>
      <c r="O357" s="815"/>
    </row>
    <row r="358" spans="2:15" ht="12.75" customHeight="1" x14ac:dyDescent="0.2">
      <c r="B358" s="63"/>
      <c r="C358" s="829"/>
      <c r="D358" s="829"/>
      <c r="E358" s="829"/>
      <c r="F358" s="829"/>
      <c r="G358" s="829"/>
      <c r="H358" s="829"/>
      <c r="I358" s="829"/>
      <c r="J358" s="829"/>
      <c r="K358" s="669"/>
      <c r="L358" s="395"/>
      <c r="M358" s="815"/>
      <c r="O358" s="815"/>
    </row>
    <row r="359" spans="2:15" ht="12.75" customHeight="1" x14ac:dyDescent="0.2">
      <c r="B359" s="63"/>
      <c r="C359" s="829"/>
      <c r="D359" s="829"/>
      <c r="E359" s="829"/>
      <c r="F359" s="829"/>
      <c r="G359" s="829"/>
      <c r="H359" s="829"/>
      <c r="I359" s="829"/>
      <c r="J359" s="829"/>
      <c r="K359" s="669"/>
      <c r="L359" s="395"/>
      <c r="M359" s="815"/>
      <c r="O359" s="815"/>
    </row>
    <row r="360" spans="2:15" ht="33.75" customHeight="1" x14ac:dyDescent="0.2">
      <c r="B360" s="63"/>
      <c r="C360" s="829"/>
      <c r="D360" s="829"/>
      <c r="E360" s="829"/>
      <c r="F360" s="829"/>
      <c r="G360" s="829"/>
      <c r="H360" s="829"/>
      <c r="I360" s="829"/>
      <c r="J360" s="829"/>
      <c r="K360" s="669"/>
      <c r="L360" s="395"/>
      <c r="M360" s="815"/>
      <c r="O360" s="815"/>
    </row>
    <row r="361" spans="2:15" ht="44.25" customHeight="1" x14ac:dyDescent="0.2">
      <c r="B361" s="63" t="s">
        <v>124</v>
      </c>
      <c r="C361" s="829" t="s">
        <v>430</v>
      </c>
      <c r="D361" s="829"/>
      <c r="E361" s="829"/>
      <c r="F361" s="829"/>
      <c r="G361" s="829"/>
      <c r="H361" s="829"/>
      <c r="I361" s="829"/>
      <c r="J361" s="829"/>
      <c r="K361" s="669"/>
      <c r="L361" s="395"/>
      <c r="M361" s="815"/>
      <c r="O361" s="815"/>
    </row>
    <row r="362" spans="2:15" ht="12.75" customHeight="1" x14ac:dyDescent="0.2">
      <c r="B362" s="63" t="s">
        <v>139</v>
      </c>
      <c r="C362" s="829" t="s">
        <v>261</v>
      </c>
      <c r="D362" s="829"/>
      <c r="E362" s="829"/>
      <c r="F362" s="829"/>
      <c r="G362" s="829"/>
      <c r="H362" s="829"/>
      <c r="I362" s="829"/>
      <c r="J362" s="829"/>
      <c r="K362" s="669"/>
      <c r="L362" s="395"/>
      <c r="M362" s="815"/>
      <c r="O362" s="815"/>
    </row>
    <row r="363" spans="2:15" ht="12.75" customHeight="1" x14ac:dyDescent="0.2">
      <c r="B363" s="63"/>
      <c r="C363" s="829"/>
      <c r="D363" s="829"/>
      <c r="E363" s="829"/>
      <c r="F363" s="829"/>
      <c r="G363" s="829"/>
      <c r="H363" s="829"/>
      <c r="I363" s="829"/>
      <c r="J363" s="829"/>
      <c r="K363" s="669"/>
      <c r="L363" s="395"/>
      <c r="M363" s="815"/>
      <c r="O363" s="815"/>
    </row>
    <row r="364" spans="2:15" x14ac:dyDescent="0.2">
      <c r="B364" s="63" t="s">
        <v>140</v>
      </c>
      <c r="C364" s="829" t="s">
        <v>260</v>
      </c>
      <c r="D364" s="829"/>
      <c r="E364" s="829"/>
      <c r="F364" s="829"/>
      <c r="G364" s="829"/>
      <c r="H364" s="829"/>
      <c r="I364" s="829"/>
      <c r="J364" s="829"/>
      <c r="K364" s="669"/>
      <c r="L364" s="395"/>
      <c r="M364" s="815"/>
      <c r="O364" s="815"/>
    </row>
    <row r="365" spans="2:15" ht="38.25" customHeight="1" x14ac:dyDescent="0.2">
      <c r="B365" s="63" t="s">
        <v>163</v>
      </c>
      <c r="C365" s="829" t="s">
        <v>493</v>
      </c>
      <c r="D365" s="829"/>
      <c r="E365" s="829"/>
      <c r="F365" s="829"/>
      <c r="G365" s="829"/>
      <c r="H365" s="829"/>
      <c r="I365" s="829"/>
      <c r="J365" s="829"/>
      <c r="K365" s="669"/>
      <c r="L365" s="395"/>
      <c r="M365" s="815"/>
      <c r="O365" s="815"/>
    </row>
    <row r="366" spans="2:15" ht="27" customHeight="1" x14ac:dyDescent="0.2">
      <c r="B366" s="63" t="s">
        <v>165</v>
      </c>
      <c r="C366" s="829" t="s">
        <v>45</v>
      </c>
      <c r="D366" s="829"/>
      <c r="E366" s="829"/>
      <c r="F366" s="829"/>
      <c r="G366" s="829"/>
      <c r="H366" s="829"/>
      <c r="I366" s="829"/>
      <c r="J366" s="395"/>
      <c r="K366" s="395"/>
      <c r="L366" s="395"/>
      <c r="M366" s="815"/>
      <c r="O366" s="815"/>
    </row>
    <row r="367" spans="2:15" x14ac:dyDescent="0.2">
      <c r="B367" s="63" t="s">
        <v>167</v>
      </c>
      <c r="C367" s="696" t="s">
        <v>429</v>
      </c>
      <c r="D367" s="695"/>
      <c r="E367" s="695"/>
      <c r="F367" s="695"/>
      <c r="G367" s="695"/>
      <c r="H367" s="695"/>
      <c r="I367" s="695"/>
      <c r="J367" s="395"/>
      <c r="K367" s="395"/>
      <c r="L367" s="395"/>
      <c r="M367" s="815"/>
      <c r="O367" s="815"/>
    </row>
    <row r="368" spans="2:15" x14ac:dyDescent="0.2">
      <c r="B368" s="63" t="s">
        <v>169</v>
      </c>
      <c r="C368" s="831" t="s">
        <v>47</v>
      </c>
      <c r="D368" s="831"/>
      <c r="E368" s="831"/>
      <c r="F368" s="831"/>
      <c r="G368" s="831"/>
      <c r="H368" s="831"/>
      <c r="I368" s="831"/>
      <c r="J368" s="831"/>
      <c r="K368" s="670"/>
      <c r="L368" s="395"/>
      <c r="M368" s="815"/>
      <c r="O368" s="815"/>
    </row>
    <row r="369" spans="2:15" ht="12.75" customHeight="1" x14ac:dyDescent="0.2">
      <c r="B369" s="63" t="s">
        <v>431</v>
      </c>
      <c r="C369" s="829" t="s">
        <v>48</v>
      </c>
      <c r="D369" s="829"/>
      <c r="E369" s="829"/>
      <c r="F369" s="829"/>
      <c r="G369" s="829"/>
      <c r="H369" s="829"/>
      <c r="I369" s="829"/>
      <c r="J369" s="395"/>
      <c r="K369" s="395"/>
      <c r="L369" s="395"/>
      <c r="M369" s="815"/>
      <c r="O369" s="815"/>
    </row>
    <row r="370" spans="2:15" x14ac:dyDescent="0.2">
      <c r="B370" s="63"/>
      <c r="C370" s="841"/>
      <c r="D370" s="841"/>
      <c r="E370" s="841"/>
      <c r="F370" s="841"/>
      <c r="G370" s="841"/>
      <c r="H370" s="841"/>
      <c r="I370" s="841"/>
      <c r="J370" s="395"/>
      <c r="K370" s="395"/>
      <c r="L370" s="395"/>
      <c r="M370" s="815"/>
      <c r="O370" s="815"/>
    </row>
    <row r="371" spans="2:15" x14ac:dyDescent="0.2">
      <c r="B371" s="113"/>
      <c r="C371" s="838"/>
      <c r="D371" s="838"/>
      <c r="E371" s="838"/>
      <c r="F371" s="838"/>
      <c r="G371" s="838"/>
      <c r="H371" s="838"/>
      <c r="I371" s="838"/>
      <c r="J371" s="395"/>
      <c r="K371" s="395"/>
      <c r="L371" s="395"/>
      <c r="M371" s="815"/>
      <c r="O371" s="815"/>
    </row>
    <row r="372" spans="2:15" ht="12.75" customHeight="1" x14ac:dyDescent="0.2">
      <c r="B372" s="63"/>
      <c r="C372" s="829"/>
      <c r="D372" s="829"/>
      <c r="E372" s="829"/>
      <c r="F372" s="829"/>
      <c r="G372" s="829"/>
      <c r="H372" s="829"/>
      <c r="I372" s="829"/>
      <c r="J372" s="395"/>
      <c r="K372" s="395"/>
      <c r="L372" s="395"/>
      <c r="M372" s="815"/>
      <c r="O372" s="815"/>
    </row>
    <row r="373" spans="2:15" x14ac:dyDescent="0.2">
      <c r="B373" s="63"/>
      <c r="C373" s="830"/>
      <c r="D373" s="830"/>
      <c r="E373" s="830"/>
      <c r="F373" s="830"/>
      <c r="G373" s="830"/>
      <c r="H373" s="830"/>
      <c r="I373" s="830"/>
      <c r="J373" s="830"/>
      <c r="K373" s="670"/>
      <c r="L373" s="395"/>
      <c r="M373" s="815"/>
      <c r="O373" s="815"/>
    </row>
    <row r="374" spans="2:15" x14ac:dyDescent="0.2">
      <c r="B374" s="63"/>
      <c r="C374" s="395"/>
      <c r="D374" s="395"/>
      <c r="E374" s="65"/>
      <c r="F374" s="65"/>
      <c r="G374" s="395"/>
      <c r="H374" s="395"/>
      <c r="I374" s="65"/>
      <c r="J374" s="395"/>
      <c r="K374" s="395"/>
      <c r="L374" s="395"/>
      <c r="M374" s="815"/>
      <c r="O374" s="815"/>
    </row>
    <row r="375" spans="2:15" x14ac:dyDescent="0.2">
      <c r="M375" s="815"/>
      <c r="O375" s="815"/>
    </row>
    <row r="376" spans="2:15" x14ac:dyDescent="0.2">
      <c r="M376" s="815"/>
      <c r="O376" s="815"/>
    </row>
    <row r="377" spans="2:15" x14ac:dyDescent="0.2">
      <c r="M377" s="815"/>
      <c r="O377" s="815"/>
    </row>
    <row r="378" spans="2:15" x14ac:dyDescent="0.2">
      <c r="M378" s="815"/>
      <c r="O378" s="815"/>
    </row>
    <row r="379" spans="2:15" x14ac:dyDescent="0.2">
      <c r="M379" s="815"/>
      <c r="O379" s="815"/>
    </row>
    <row r="380" spans="2:15" x14ac:dyDescent="0.2">
      <c r="M380" s="815"/>
      <c r="O380" s="815"/>
    </row>
    <row r="381" spans="2:15" x14ac:dyDescent="0.2">
      <c r="M381" s="815"/>
      <c r="O381" s="815"/>
    </row>
    <row r="382" spans="2:15" x14ac:dyDescent="0.2">
      <c r="M382" s="815"/>
      <c r="O382" s="815"/>
    </row>
    <row r="383" spans="2:15" x14ac:dyDescent="0.2">
      <c r="M383" s="815"/>
      <c r="O383" s="815"/>
    </row>
    <row r="384" spans="2:15" x14ac:dyDescent="0.2">
      <c r="M384" s="815"/>
      <c r="O384" s="815"/>
    </row>
    <row r="385" spans="13:15" x14ac:dyDescent="0.2">
      <c r="M385" s="815"/>
      <c r="O385" s="815"/>
    </row>
    <row r="386" spans="13:15" x14ac:dyDescent="0.2">
      <c r="M386" s="815"/>
      <c r="O386" s="815"/>
    </row>
    <row r="387" spans="13:15" x14ac:dyDescent="0.2">
      <c r="M387" s="815"/>
      <c r="O387" s="815"/>
    </row>
    <row r="388" spans="13:15" x14ac:dyDescent="0.2">
      <c r="M388" s="815"/>
      <c r="O388" s="815"/>
    </row>
    <row r="389" spans="13:15" x14ac:dyDescent="0.2">
      <c r="M389" s="815"/>
      <c r="O389" s="815"/>
    </row>
    <row r="390" spans="13:15" x14ac:dyDescent="0.2">
      <c r="M390" s="815"/>
      <c r="O390" s="815"/>
    </row>
    <row r="391" spans="13:15" x14ac:dyDescent="0.2">
      <c r="M391" s="815"/>
      <c r="O391" s="815"/>
    </row>
    <row r="392" spans="13:15" x14ac:dyDescent="0.2">
      <c r="M392" s="815"/>
      <c r="O392" s="815"/>
    </row>
    <row r="393" spans="13:15" x14ac:dyDescent="0.2">
      <c r="M393" s="815"/>
      <c r="O393" s="815"/>
    </row>
    <row r="394" spans="13:15" x14ac:dyDescent="0.2">
      <c r="M394" s="815"/>
      <c r="O394" s="815"/>
    </row>
    <row r="395" spans="13:15" x14ac:dyDescent="0.2">
      <c r="M395" s="815"/>
      <c r="O395" s="815"/>
    </row>
    <row r="396" spans="13:15" x14ac:dyDescent="0.2">
      <c r="M396" s="815"/>
      <c r="O396" s="815"/>
    </row>
    <row r="397" spans="13:15" x14ac:dyDescent="0.2">
      <c r="M397" s="815"/>
      <c r="O397" s="815"/>
    </row>
    <row r="398" spans="13:15" x14ac:dyDescent="0.2">
      <c r="M398" s="815"/>
      <c r="O398" s="815"/>
    </row>
    <row r="399" spans="13:15" x14ac:dyDescent="0.2">
      <c r="M399" s="815"/>
      <c r="O399" s="815"/>
    </row>
    <row r="400" spans="13:15" x14ac:dyDescent="0.2">
      <c r="M400" s="815"/>
      <c r="O400" s="815"/>
    </row>
    <row r="401" spans="13:15" x14ac:dyDescent="0.2">
      <c r="M401" s="815"/>
      <c r="O401" s="815"/>
    </row>
    <row r="402" spans="13:15" x14ac:dyDescent="0.2">
      <c r="M402" s="815"/>
      <c r="O402" s="815"/>
    </row>
    <row r="403" spans="13:15" x14ac:dyDescent="0.2">
      <c r="M403" s="815"/>
      <c r="O403" s="815"/>
    </row>
    <row r="404" spans="13:15" x14ac:dyDescent="0.2">
      <c r="M404" s="815"/>
      <c r="O404" s="815"/>
    </row>
    <row r="405" spans="13:15" x14ac:dyDescent="0.2">
      <c r="M405" s="815"/>
      <c r="O405" s="815"/>
    </row>
    <row r="406" spans="13:15" x14ac:dyDescent="0.2">
      <c r="M406" s="815"/>
      <c r="O406" s="815"/>
    </row>
    <row r="407" spans="13:15" x14ac:dyDescent="0.2">
      <c r="M407" s="815"/>
      <c r="O407" s="815"/>
    </row>
    <row r="408" spans="13:15" x14ac:dyDescent="0.2">
      <c r="M408" s="815"/>
      <c r="O408" s="815"/>
    </row>
    <row r="409" spans="13:15" x14ac:dyDescent="0.2">
      <c r="M409" s="815"/>
      <c r="O409" s="815"/>
    </row>
    <row r="410" spans="13:15" x14ac:dyDescent="0.2">
      <c r="M410" s="815"/>
      <c r="O410" s="815"/>
    </row>
    <row r="411" spans="13:15" x14ac:dyDescent="0.2">
      <c r="M411" s="815"/>
      <c r="O411" s="815"/>
    </row>
    <row r="412" spans="13:15" x14ac:dyDescent="0.2">
      <c r="M412" s="815"/>
      <c r="O412" s="815"/>
    </row>
    <row r="413" spans="13:15" x14ac:dyDescent="0.2">
      <c r="M413" s="815"/>
      <c r="O413" s="815"/>
    </row>
    <row r="414" spans="13:15" x14ac:dyDescent="0.2">
      <c r="M414" s="815"/>
      <c r="O414" s="815"/>
    </row>
    <row r="415" spans="13:15" x14ac:dyDescent="0.2">
      <c r="M415" s="815"/>
      <c r="O415" s="815"/>
    </row>
    <row r="416" spans="13:15" x14ac:dyDescent="0.2">
      <c r="M416" s="815"/>
      <c r="O416" s="815"/>
    </row>
    <row r="417" spans="13:15" x14ac:dyDescent="0.2">
      <c r="M417" s="815"/>
      <c r="O417" s="815"/>
    </row>
    <row r="418" spans="13:15" x14ac:dyDescent="0.2">
      <c r="M418" s="815"/>
      <c r="O418" s="815"/>
    </row>
    <row r="419" spans="13:15" x14ac:dyDescent="0.2">
      <c r="M419" s="815"/>
      <c r="O419" s="815"/>
    </row>
    <row r="420" spans="13:15" x14ac:dyDescent="0.2">
      <c r="M420" s="815"/>
      <c r="O420" s="815"/>
    </row>
    <row r="421" spans="13:15" x14ac:dyDescent="0.2">
      <c r="M421" s="815"/>
      <c r="O421" s="815"/>
    </row>
    <row r="422" spans="13:15" x14ac:dyDescent="0.2">
      <c r="M422" s="815"/>
      <c r="O422" s="815"/>
    </row>
    <row r="423" spans="13:15" x14ac:dyDescent="0.2">
      <c r="M423" s="815"/>
      <c r="O423" s="815"/>
    </row>
    <row r="424" spans="13:15" x14ac:dyDescent="0.2">
      <c r="M424" s="815"/>
      <c r="O424" s="815"/>
    </row>
    <row r="425" spans="13:15" x14ac:dyDescent="0.2">
      <c r="M425" s="815"/>
      <c r="O425" s="815"/>
    </row>
    <row r="426" spans="13:15" x14ac:dyDescent="0.2">
      <c r="M426" s="815"/>
      <c r="O426" s="815"/>
    </row>
    <row r="427" spans="13:15" x14ac:dyDescent="0.2">
      <c r="M427" s="815"/>
      <c r="O427" s="815"/>
    </row>
    <row r="428" spans="13:15" x14ac:dyDescent="0.2">
      <c r="M428" s="815"/>
      <c r="O428" s="815"/>
    </row>
    <row r="429" spans="13:15" x14ac:dyDescent="0.2">
      <c r="M429" s="815"/>
      <c r="O429" s="815"/>
    </row>
    <row r="430" spans="13:15" x14ac:dyDescent="0.2">
      <c r="M430" s="815"/>
      <c r="O430" s="815"/>
    </row>
    <row r="431" spans="13:15" x14ac:dyDescent="0.2">
      <c r="M431" s="815"/>
      <c r="O431" s="815"/>
    </row>
    <row r="432" spans="13:15" x14ac:dyDescent="0.2">
      <c r="M432" s="815"/>
      <c r="O432" s="815"/>
    </row>
    <row r="433" spans="2:15" x14ac:dyDescent="0.2">
      <c r="M433" s="815"/>
      <c r="O433" s="815"/>
    </row>
    <row r="434" spans="2:15" x14ac:dyDescent="0.2">
      <c r="M434" s="815"/>
      <c r="O434" s="815"/>
    </row>
    <row r="435" spans="2:15" x14ac:dyDescent="0.2">
      <c r="M435" s="815"/>
      <c r="O435" s="815"/>
    </row>
    <row r="436" spans="2:15" x14ac:dyDescent="0.2">
      <c r="M436" s="815"/>
      <c r="O436" s="815"/>
    </row>
    <row r="437" spans="2:15" x14ac:dyDescent="0.2">
      <c r="M437" s="815"/>
      <c r="O437" s="815"/>
    </row>
    <row r="438" spans="2:15" x14ac:dyDescent="0.2">
      <c r="M438" s="815"/>
      <c r="O438" s="815"/>
    </row>
    <row r="439" spans="2:15" x14ac:dyDescent="0.2">
      <c r="M439" s="815"/>
      <c r="O439" s="815"/>
    </row>
    <row r="440" spans="2:15" x14ac:dyDescent="0.2">
      <c r="M440" s="815"/>
      <c r="O440" s="815"/>
    </row>
    <row r="441" spans="2:15" x14ac:dyDescent="0.2">
      <c r="M441" s="815"/>
      <c r="O441" s="815"/>
    </row>
    <row r="442" spans="2:15" x14ac:dyDescent="0.2">
      <c r="M442" s="815"/>
      <c r="O442" s="815"/>
    </row>
    <row r="443" spans="2:15" x14ac:dyDescent="0.2">
      <c r="M443" s="815"/>
      <c r="O443" s="815"/>
    </row>
    <row r="444" spans="2:15" x14ac:dyDescent="0.2">
      <c r="M444" s="815"/>
      <c r="O444" s="815"/>
    </row>
    <row r="445" spans="2:15" x14ac:dyDescent="0.2">
      <c r="M445" s="815"/>
      <c r="O445" s="815"/>
    </row>
    <row r="446" spans="2:15" ht="12.75" customHeight="1" x14ac:dyDescent="0.2">
      <c r="B446" s="395"/>
      <c r="C446" s="395"/>
      <c r="D446" s="395"/>
      <c r="E446" s="395"/>
      <c r="F446" s="395"/>
      <c r="G446" s="395"/>
      <c r="H446" s="395"/>
      <c r="I446" s="395"/>
      <c r="J446" s="395"/>
      <c r="K446" s="395"/>
      <c r="L446" s="395"/>
      <c r="M446" s="815"/>
      <c r="O446" s="815"/>
    </row>
    <row r="447" spans="2:15" ht="12.75" customHeight="1" x14ac:dyDescent="0.2">
      <c r="B447" s="395"/>
      <c r="C447" s="395"/>
      <c r="D447" s="395"/>
      <c r="E447" s="395"/>
      <c r="F447" s="395"/>
      <c r="G447" s="395"/>
      <c r="H447" s="395"/>
      <c r="I447" s="395"/>
      <c r="J447" s="395"/>
      <c r="K447" s="395"/>
      <c r="L447" s="395"/>
      <c r="M447" s="815"/>
      <c r="O447" s="815"/>
    </row>
    <row r="448" spans="2:15" x14ac:dyDescent="0.2">
      <c r="M448" s="815"/>
      <c r="O448" s="815"/>
    </row>
    <row r="449" spans="2:15" x14ac:dyDescent="0.2">
      <c r="M449" s="815"/>
      <c r="O449" s="815"/>
    </row>
    <row r="450" spans="2:15" x14ac:dyDescent="0.2">
      <c r="M450" s="815"/>
      <c r="O450" s="815"/>
    </row>
    <row r="451" spans="2:15" x14ac:dyDescent="0.2">
      <c r="M451" s="815"/>
      <c r="O451" s="815"/>
    </row>
    <row r="452" spans="2:15" x14ac:dyDescent="0.2">
      <c r="M452" s="815"/>
      <c r="O452" s="815"/>
    </row>
    <row r="453" spans="2:15" x14ac:dyDescent="0.2">
      <c r="M453" s="815"/>
      <c r="O453" s="815"/>
    </row>
    <row r="454" spans="2:15" x14ac:dyDescent="0.2">
      <c r="M454" s="815"/>
      <c r="O454" s="815"/>
    </row>
    <row r="455" spans="2:15" x14ac:dyDescent="0.2">
      <c r="M455" s="815"/>
      <c r="O455" s="815"/>
    </row>
    <row r="456" spans="2:15" x14ac:dyDescent="0.2">
      <c r="M456" s="815"/>
      <c r="O456" s="815"/>
    </row>
    <row r="457" spans="2:15" ht="12.75" customHeight="1" x14ac:dyDescent="0.2">
      <c r="B457" s="395"/>
      <c r="C457" s="395"/>
      <c r="D457" s="395"/>
      <c r="E457" s="395"/>
      <c r="F457" s="395"/>
      <c r="G457" s="395"/>
      <c r="H457" s="395"/>
      <c r="I457" s="395"/>
      <c r="J457" s="395"/>
      <c r="K457" s="395"/>
      <c r="L457" s="395"/>
      <c r="M457" s="815"/>
      <c r="O457" s="815"/>
    </row>
    <row r="458" spans="2:15" x14ac:dyDescent="0.2">
      <c r="M458" s="815"/>
      <c r="O458" s="815"/>
    </row>
    <row r="459" spans="2:15" x14ac:dyDescent="0.2">
      <c r="M459" s="815"/>
      <c r="O459" s="815"/>
    </row>
    <row r="460" spans="2:15" x14ac:dyDescent="0.2">
      <c r="M460" s="815"/>
      <c r="O460" s="815"/>
    </row>
    <row r="461" spans="2:15" x14ac:dyDescent="0.2">
      <c r="M461" s="815"/>
      <c r="O461" s="815"/>
    </row>
    <row r="462" spans="2:15" x14ac:dyDescent="0.2">
      <c r="M462" s="815"/>
      <c r="O462" s="815"/>
    </row>
    <row r="463" spans="2:15" x14ac:dyDescent="0.2">
      <c r="M463" s="815"/>
      <c r="O463" s="815"/>
    </row>
    <row r="464" spans="2:15" x14ac:dyDescent="0.2">
      <c r="M464" s="815"/>
      <c r="O464" s="815"/>
    </row>
    <row r="465" spans="2:15" x14ac:dyDescent="0.2">
      <c r="M465" s="815"/>
      <c r="O465" s="815"/>
    </row>
    <row r="466" spans="2:15" x14ac:dyDescent="0.2">
      <c r="M466" s="815"/>
    </row>
    <row r="467" spans="2:15" x14ac:dyDescent="0.2">
      <c r="M467" s="815"/>
    </row>
    <row r="468" spans="2:15" x14ac:dyDescent="0.2">
      <c r="M468" s="815"/>
    </row>
    <row r="469" spans="2:15" x14ac:dyDescent="0.2">
      <c r="M469" s="815"/>
    </row>
    <row r="473" spans="2:15" ht="12.75" customHeight="1" x14ac:dyDescent="0.2">
      <c r="B473" s="395"/>
      <c r="C473" s="395"/>
      <c r="D473" s="395"/>
      <c r="E473" s="395"/>
      <c r="F473" s="395"/>
      <c r="G473" s="395"/>
      <c r="H473" s="395"/>
      <c r="I473" s="395"/>
      <c r="J473" s="395"/>
      <c r="K473" s="395"/>
      <c r="L473" s="395"/>
    </row>
    <row r="474" spans="2:15" ht="12.75" customHeight="1" x14ac:dyDescent="0.2">
      <c r="B474" s="395"/>
      <c r="C474" s="395"/>
      <c r="D474" s="395"/>
      <c r="E474" s="395"/>
      <c r="F474" s="395"/>
      <c r="G474" s="395"/>
      <c r="H474" s="395"/>
      <c r="I474" s="395"/>
      <c r="J474" s="395"/>
      <c r="K474" s="395"/>
      <c r="L474" s="395"/>
    </row>
    <row r="490" spans="2:12" ht="12.75" customHeight="1" x14ac:dyDescent="0.2">
      <c r="B490" s="395"/>
      <c r="C490" s="395"/>
      <c r="D490" s="395"/>
      <c r="E490" s="395"/>
      <c r="F490" s="395"/>
      <c r="G490" s="395"/>
      <c r="H490" s="395"/>
      <c r="I490" s="395"/>
      <c r="J490" s="395"/>
      <c r="K490" s="395"/>
      <c r="L490" s="395"/>
    </row>
  </sheetData>
  <sheetProtection formatCells="0" formatColumns="0" formatRows="0" sort="0" autoFilter="0" pivotTables="0"/>
  <mergeCells count="51">
    <mergeCell ref="B4:C4"/>
    <mergeCell ref="C137:D137"/>
    <mergeCell ref="B33:C33"/>
    <mergeCell ref="C50:D50"/>
    <mergeCell ref="C136:D136"/>
    <mergeCell ref="C49:D49"/>
    <mergeCell ref="B62:C62"/>
    <mergeCell ref="C78:D78"/>
    <mergeCell ref="C79:D79"/>
    <mergeCell ref="B120:C120"/>
    <mergeCell ref="C371:I371"/>
    <mergeCell ref="C20:D20"/>
    <mergeCell ref="C21:D21"/>
    <mergeCell ref="C223:D223"/>
    <mergeCell ref="B207:C207"/>
    <mergeCell ref="B91:C91"/>
    <mergeCell ref="C194:D194"/>
    <mergeCell ref="C310:D310"/>
    <mergeCell ref="C311:D311"/>
    <mergeCell ref="B294:C294"/>
    <mergeCell ref="C370:I370"/>
    <mergeCell ref="B178:C178"/>
    <mergeCell ref="C224:D224"/>
    <mergeCell ref="C107:D107"/>
    <mergeCell ref="B353:C353"/>
    <mergeCell ref="B236:C236"/>
    <mergeCell ref="C340:D340"/>
    <mergeCell ref="C108:D108"/>
    <mergeCell ref="B323:E323"/>
    <mergeCell ref="C339:D339"/>
    <mergeCell ref="B265:C265"/>
    <mergeCell ref="C282:D282"/>
    <mergeCell ref="C252:D252"/>
    <mergeCell ref="C253:D253"/>
    <mergeCell ref="C281:D281"/>
    <mergeCell ref="J1:K1"/>
    <mergeCell ref="C372:I372"/>
    <mergeCell ref="C373:J373"/>
    <mergeCell ref="C369:I369"/>
    <mergeCell ref="C362:J363"/>
    <mergeCell ref="C364:J364"/>
    <mergeCell ref="C368:J368"/>
    <mergeCell ref="C365:J365"/>
    <mergeCell ref="C366:I366"/>
    <mergeCell ref="C165:D165"/>
    <mergeCell ref="C166:D166"/>
    <mergeCell ref="B149:C149"/>
    <mergeCell ref="C355:J360"/>
    <mergeCell ref="C361:J361"/>
    <mergeCell ref="C195:D195"/>
    <mergeCell ref="C354:I354"/>
  </mergeCells>
  <hyperlinks>
    <hyperlink ref="A1" location="Index!A1" display="Index"/>
  </hyperlinks>
  <pageMargins left="0.74803149606299213" right="0.74803149606299213" top="0.98425196850393704" bottom="0.98425196850393704" header="0.51181102362204722" footer="0.51181102362204722"/>
  <pageSetup paperSize="9" scale="49" fitToHeight="5" orientation="portrait" horizontalDpi="300" verticalDpi="300" r:id="rId1"/>
  <headerFooter alignWithMargins="0">
    <oddHeader>&amp;L&amp;"Vodafone Rg,Regular"Vodafone Group Plc&amp;C&amp;"Vodafone Rg,Regular"02 Regional results</oddHeader>
  </headerFooter>
  <rowBreaks count="2" manualBreakCount="2">
    <brk id="119" min="1" max="15" man="1"/>
    <brk id="264" min="1"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94"/>
  <sheetViews>
    <sheetView zoomScaleNormal="100" workbookViewId="0">
      <selection activeCell="M4" sqref="M4"/>
    </sheetView>
  </sheetViews>
  <sheetFormatPr defaultRowHeight="12.75" x14ac:dyDescent="0.2"/>
  <cols>
    <col min="1" max="1" width="5.42578125" style="395" customWidth="1"/>
    <col min="2" max="2" width="3.7109375" style="366" customWidth="1"/>
    <col min="3" max="3" width="66.42578125" style="106" customWidth="1"/>
    <col min="4" max="4" width="6.42578125" style="366" bestFit="1" customWidth="1"/>
    <col min="5" max="6" width="10.5703125" style="395" customWidth="1"/>
    <col min="7" max="7" width="6.42578125" style="366" bestFit="1" customWidth="1"/>
    <col min="8" max="33" width="9.140625" style="395" customWidth="1"/>
    <col min="34" max="243" width="11.42578125" style="395" customWidth="1"/>
    <col min="244" max="16384" width="9.140625" style="395"/>
  </cols>
  <sheetData>
    <row r="1" spans="1:7" ht="12.75" customHeight="1" x14ac:dyDescent="0.2">
      <c r="A1" s="688" t="s">
        <v>414</v>
      </c>
      <c r="B1" s="101"/>
      <c r="C1" s="366"/>
      <c r="E1" s="102" t="s">
        <v>51</v>
      </c>
      <c r="F1" s="102" t="s">
        <v>199</v>
      </c>
    </row>
    <row r="2" spans="1:7" ht="12.75" customHeight="1" x14ac:dyDescent="0.2">
      <c r="C2" s="103"/>
      <c r="E2" s="102" t="s">
        <v>67</v>
      </c>
      <c r="F2" s="102" t="s">
        <v>67</v>
      </c>
    </row>
    <row r="3" spans="1:7" ht="12.75" customHeight="1" x14ac:dyDescent="0.2">
      <c r="C3" s="104"/>
      <c r="E3" s="105"/>
      <c r="F3" s="105"/>
    </row>
    <row r="4" spans="1:7" ht="12.75" customHeight="1" thickBot="1" x14ac:dyDescent="0.25">
      <c r="B4" s="106" t="s">
        <v>264</v>
      </c>
      <c r="E4" s="107">
        <v>38041</v>
      </c>
      <c r="F4" s="734">
        <v>38346</v>
      </c>
    </row>
    <row r="5" spans="1:7" ht="3.95" customHeight="1" thickTop="1" x14ac:dyDescent="0.2">
      <c r="B5" s="106"/>
      <c r="E5" s="108"/>
      <c r="F5" s="697"/>
    </row>
    <row r="6" spans="1:7" s="82" customFormat="1" ht="12.75" customHeight="1" x14ac:dyDescent="0.2">
      <c r="B6" s="104" t="s">
        <v>265</v>
      </c>
      <c r="C6" s="104"/>
      <c r="D6" s="79"/>
      <c r="E6" s="109">
        <v>11466</v>
      </c>
      <c r="F6" s="735">
        <v>11084</v>
      </c>
      <c r="G6" s="79"/>
    </row>
    <row r="7" spans="1:7" ht="12.75" customHeight="1" x14ac:dyDescent="0.2">
      <c r="B7" s="106" t="s">
        <v>65</v>
      </c>
      <c r="E7" s="110">
        <f t="shared" ref="E7:F7" si="0">ROUND(E6/E4,3)</f>
        <v>0.30099999999999999</v>
      </c>
      <c r="F7" s="99">
        <f t="shared" si="0"/>
        <v>0.28899999999999998</v>
      </c>
    </row>
    <row r="8" spans="1:7" ht="3.95" customHeight="1" x14ac:dyDescent="0.2">
      <c r="B8" s="106"/>
      <c r="E8" s="105"/>
      <c r="F8" s="678"/>
    </row>
    <row r="9" spans="1:7" ht="12.75" customHeight="1" x14ac:dyDescent="0.2">
      <c r="B9" s="106" t="s">
        <v>68</v>
      </c>
      <c r="E9" s="112">
        <f>-443-1180-4879</f>
        <v>-6502</v>
      </c>
      <c r="F9" s="697">
        <f>-406-1259-5433</f>
        <v>-7098</v>
      </c>
    </row>
    <row r="10" spans="1:7" ht="12.75" customHeight="1" x14ac:dyDescent="0.2">
      <c r="B10" s="113" t="s">
        <v>63</v>
      </c>
      <c r="E10" s="112">
        <v>626</v>
      </c>
      <c r="F10" s="697">
        <v>324</v>
      </c>
    </row>
    <row r="11" spans="1:7" ht="12.75" customHeight="1" x14ac:dyDescent="0.2">
      <c r="B11" s="113" t="s">
        <v>69</v>
      </c>
      <c r="E11" s="114">
        <f>8254-5590</f>
        <v>2664</v>
      </c>
      <c r="F11" s="736">
        <f>7580-4310</f>
        <v>3270</v>
      </c>
    </row>
    <row r="12" spans="1:7" s="82" customFormat="1" ht="14.25" customHeight="1" x14ac:dyDescent="0.2">
      <c r="B12" s="104" t="s">
        <v>70</v>
      </c>
      <c r="C12" s="104"/>
      <c r="D12" s="115"/>
      <c r="E12" s="109">
        <f>SUM(E9:E11,E6)</f>
        <v>8254</v>
      </c>
      <c r="F12" s="735">
        <f>SUM(F9:F11,F6)</f>
        <v>7580</v>
      </c>
      <c r="G12" s="115"/>
    </row>
    <row r="13" spans="1:7" ht="12.75" customHeight="1" x14ac:dyDescent="0.2">
      <c r="B13" s="106" t="s">
        <v>71</v>
      </c>
      <c r="E13" s="114">
        <v>-1296</v>
      </c>
      <c r="F13" s="736">
        <v>-1103</v>
      </c>
    </row>
    <row r="14" spans="1:7" s="82" customFormat="1" ht="12.75" customHeight="1" x14ac:dyDescent="0.2">
      <c r="B14" s="104" t="s">
        <v>72</v>
      </c>
      <c r="C14" s="104"/>
      <c r="D14" s="79"/>
      <c r="E14" s="109">
        <f>SUM(E12:E13)</f>
        <v>6958</v>
      </c>
      <c r="F14" s="735">
        <f>SUM(F12:F13)</f>
        <v>6477</v>
      </c>
      <c r="G14" s="79"/>
    </row>
    <row r="15" spans="1:7" ht="12.75" customHeight="1" x14ac:dyDescent="0.2">
      <c r="B15" s="106" t="s">
        <v>73</v>
      </c>
      <c r="E15" s="112">
        <v>-1287</v>
      </c>
      <c r="F15" s="697">
        <v>-1619</v>
      </c>
    </row>
    <row r="16" spans="1:7" ht="12.75" customHeight="1" x14ac:dyDescent="0.2">
      <c r="B16" s="106" t="s">
        <v>74</v>
      </c>
      <c r="E16" s="30">
        <v>-272</v>
      </c>
      <c r="F16" s="697">
        <v>-216</v>
      </c>
    </row>
    <row r="17" spans="2:7" s="82" customFormat="1" ht="12.75" customHeight="1" thickBot="1" x14ac:dyDescent="0.25">
      <c r="B17" s="104" t="s">
        <v>75</v>
      </c>
      <c r="C17" s="104"/>
      <c r="D17" s="79"/>
      <c r="E17" s="36">
        <f>SUM(E14:E16)</f>
        <v>5399</v>
      </c>
      <c r="F17" s="698">
        <f>SUM(F14:F16)</f>
        <v>4642</v>
      </c>
      <c r="G17" s="79"/>
    </row>
    <row r="18" spans="2:7" ht="3.95" customHeight="1" thickTop="1" x14ac:dyDescent="0.2">
      <c r="B18" s="106"/>
      <c r="E18" s="116"/>
      <c r="F18" s="678"/>
    </row>
    <row r="19" spans="2:7" ht="12.75" customHeight="1" x14ac:dyDescent="0.2">
      <c r="B19" s="106" t="s">
        <v>468</v>
      </c>
      <c r="E19" s="117">
        <f>+E17/E20*100</f>
        <v>20.122246654988633</v>
      </c>
      <c r="F19" s="737">
        <f>+F17/F20*100</f>
        <v>17.535509217286187</v>
      </c>
    </row>
    <row r="20" spans="2:7" ht="12.75" customHeight="1" x14ac:dyDescent="0.2">
      <c r="B20" s="106" t="s">
        <v>76</v>
      </c>
      <c r="E20" s="105">
        <v>26831</v>
      </c>
      <c r="F20" s="697">
        <v>26472</v>
      </c>
    </row>
    <row r="21" spans="2:7" ht="3.95" customHeight="1" x14ac:dyDescent="0.2">
      <c r="B21" s="106"/>
      <c r="E21" s="105"/>
      <c r="F21" s="678"/>
    </row>
    <row r="22" spans="2:7" ht="12.75" customHeight="1" x14ac:dyDescent="0.2">
      <c r="B22" s="113" t="s">
        <v>77</v>
      </c>
      <c r="E22" s="108">
        <v>29357</v>
      </c>
      <c r="F22" s="697">
        <v>28812</v>
      </c>
    </row>
    <row r="23" spans="2:7" ht="3.95" customHeight="1" x14ac:dyDescent="0.2">
      <c r="B23" s="119"/>
      <c r="E23" s="108"/>
      <c r="F23" s="697"/>
    </row>
    <row r="24" spans="2:7" ht="12.75" customHeight="1" x14ac:dyDescent="0.2">
      <c r="B24" s="120" t="s">
        <v>78</v>
      </c>
      <c r="E24" s="108"/>
      <c r="F24" s="697"/>
    </row>
    <row r="25" spans="2:7" s="82" customFormat="1" ht="12.75" customHeight="1" x14ac:dyDescent="0.2">
      <c r="B25" s="121" t="s">
        <v>71</v>
      </c>
      <c r="C25" s="104"/>
      <c r="D25" s="79"/>
      <c r="E25" s="109">
        <v>-1296</v>
      </c>
      <c r="F25" s="735">
        <v>-1103</v>
      </c>
      <c r="G25" s="79"/>
    </row>
    <row r="26" spans="2:7" ht="14.25" customHeight="1" x14ac:dyDescent="0.2">
      <c r="B26" s="122" t="s">
        <v>79</v>
      </c>
      <c r="E26" s="112">
        <v>-51</v>
      </c>
      <c r="F26" s="697">
        <v>-78</v>
      </c>
    </row>
    <row r="27" spans="2:7" s="67" customFormat="1" ht="12.75" customHeight="1" x14ac:dyDescent="0.2">
      <c r="B27" s="123" t="s">
        <v>80</v>
      </c>
      <c r="C27" s="124"/>
      <c r="D27" s="23"/>
      <c r="E27" s="112">
        <v>56</v>
      </c>
      <c r="F27" s="697">
        <v>-27</v>
      </c>
      <c r="G27" s="23"/>
    </row>
    <row r="28" spans="2:7" s="98" customFormat="1" ht="12.75" customHeight="1" thickBot="1" x14ac:dyDescent="0.25">
      <c r="B28" s="125" t="s">
        <v>81</v>
      </c>
      <c r="C28" s="126"/>
      <c r="D28" s="34"/>
      <c r="E28" s="127">
        <f>SUM(E25:E27)</f>
        <v>-1291</v>
      </c>
      <c r="F28" s="698">
        <f>SUM(F25:F27)</f>
        <v>-1208</v>
      </c>
      <c r="G28" s="34"/>
    </row>
    <row r="29" spans="2:7" ht="3.95" customHeight="1" thickTop="1" x14ac:dyDescent="0.2">
      <c r="B29" s="128"/>
      <c r="E29" s="105"/>
      <c r="F29" s="678"/>
    </row>
    <row r="30" spans="2:7" ht="3.95" customHeight="1" x14ac:dyDescent="0.2">
      <c r="B30" s="129"/>
      <c r="E30" s="105"/>
      <c r="F30" s="678"/>
    </row>
    <row r="31" spans="2:7" ht="15.75" customHeight="1" x14ac:dyDescent="0.2">
      <c r="B31" s="130" t="s">
        <v>82</v>
      </c>
      <c r="E31" s="131"/>
      <c r="F31" s="738"/>
    </row>
    <row r="32" spans="2:7" s="82" customFormat="1" ht="12.75" customHeight="1" x14ac:dyDescent="0.2">
      <c r="B32" s="121" t="s">
        <v>83</v>
      </c>
      <c r="C32" s="104"/>
      <c r="D32" s="79"/>
      <c r="E32" s="320">
        <f>+E47/E56</f>
        <v>0.24497387299619167</v>
      </c>
      <c r="F32" s="738">
        <f>+F47/F56</f>
        <v>0.27300976620301864</v>
      </c>
      <c r="G32" s="79"/>
    </row>
    <row r="33" spans="2:7" ht="12.75" customHeight="1" x14ac:dyDescent="0.2">
      <c r="B33" s="121"/>
      <c r="E33" s="796"/>
      <c r="F33" s="678"/>
    </row>
    <row r="34" spans="2:7" ht="12.75" customHeight="1" x14ac:dyDescent="0.2">
      <c r="B34" s="104" t="s">
        <v>459</v>
      </c>
      <c r="E34" s="796"/>
      <c r="F34" s="737"/>
    </row>
    <row r="35" spans="2:7" ht="12.75" customHeight="1" x14ac:dyDescent="0.2">
      <c r="B35" s="395"/>
      <c r="C35" s="106" t="s">
        <v>466</v>
      </c>
      <c r="E35" s="108">
        <v>476</v>
      </c>
      <c r="F35" s="798">
        <v>2736</v>
      </c>
    </row>
    <row r="36" spans="2:7" ht="12.75" customHeight="1" x14ac:dyDescent="0.2">
      <c r="B36" s="395"/>
      <c r="C36" s="106" t="s">
        <v>517</v>
      </c>
      <c r="E36" s="795">
        <v>0</v>
      </c>
      <c r="F36" s="799">
        <v>-19318</v>
      </c>
    </row>
    <row r="37" spans="2:7" s="82" customFormat="1" ht="12.75" customHeight="1" x14ac:dyDescent="0.2">
      <c r="B37" s="104" t="s">
        <v>518</v>
      </c>
      <c r="C37" s="104"/>
      <c r="D37" s="79"/>
      <c r="E37" s="796">
        <f>SUM(E35:E36)</f>
        <v>476</v>
      </c>
      <c r="F37" s="800">
        <f>SUM(F35:F36)</f>
        <v>-16582</v>
      </c>
      <c r="G37" s="79"/>
    </row>
    <row r="38" spans="2:7" ht="12.75" customHeight="1" x14ac:dyDescent="0.2">
      <c r="B38" s="106" t="s">
        <v>519</v>
      </c>
      <c r="E38" s="795">
        <v>1750</v>
      </c>
      <c r="F38" s="799">
        <v>1709</v>
      </c>
    </row>
    <row r="39" spans="2:7" s="82" customFormat="1" ht="12.75" customHeight="1" x14ac:dyDescent="0.2">
      <c r="B39" s="104" t="s">
        <v>87</v>
      </c>
      <c r="C39" s="104"/>
      <c r="D39" s="79"/>
      <c r="E39" s="796">
        <f>SUM(E37:E38)</f>
        <v>2226</v>
      </c>
      <c r="F39" s="800">
        <f>SUM(F37:F38)</f>
        <v>-14873</v>
      </c>
      <c r="G39" s="79"/>
    </row>
    <row r="40" spans="2:7" ht="12.75" customHeight="1" x14ac:dyDescent="0.2">
      <c r="B40" s="106" t="s">
        <v>86</v>
      </c>
      <c r="E40" s="108">
        <v>150</v>
      </c>
      <c r="F40" s="798">
        <v>290</v>
      </c>
    </row>
    <row r="41" spans="2:7" ht="12.75" customHeight="1" x14ac:dyDescent="0.2">
      <c r="B41" s="106" t="s">
        <v>460</v>
      </c>
      <c r="C41" s="395"/>
      <c r="E41" s="108">
        <v>0</v>
      </c>
      <c r="F41" s="798">
        <v>-1019</v>
      </c>
    </row>
    <row r="42" spans="2:7" ht="12.75" customHeight="1" x14ac:dyDescent="0.2">
      <c r="B42" s="106" t="s">
        <v>520</v>
      </c>
      <c r="C42" s="395"/>
      <c r="E42" s="108">
        <v>0</v>
      </c>
      <c r="F42" s="798">
        <v>19318</v>
      </c>
    </row>
    <row r="43" spans="2:7" ht="12.75" customHeight="1" x14ac:dyDescent="0.2">
      <c r="B43" s="106" t="s">
        <v>521</v>
      </c>
      <c r="C43" s="395"/>
      <c r="E43" s="108">
        <v>0</v>
      </c>
      <c r="F43" s="798">
        <v>-2210</v>
      </c>
    </row>
    <row r="44" spans="2:7" ht="12.75" customHeight="1" x14ac:dyDescent="0.2">
      <c r="B44" s="106" t="s">
        <v>467</v>
      </c>
      <c r="C44" s="395"/>
      <c r="E44" s="795">
        <v>0</v>
      </c>
      <c r="F44" s="799">
        <v>113</v>
      </c>
    </row>
    <row r="45" spans="2:7" s="82" customFormat="1" ht="12.75" customHeight="1" x14ac:dyDescent="0.2">
      <c r="B45" s="104" t="s">
        <v>73</v>
      </c>
      <c r="C45" s="104"/>
      <c r="D45" s="79"/>
      <c r="E45" s="796">
        <f>SUM(E39:E44)</f>
        <v>2376</v>
      </c>
      <c r="F45" s="800">
        <f>SUM(F39:F44)</f>
        <v>1619</v>
      </c>
      <c r="G45" s="79"/>
    </row>
    <row r="46" spans="2:7" ht="12.75" customHeight="1" x14ac:dyDescent="0.2">
      <c r="B46" s="106" t="s">
        <v>85</v>
      </c>
      <c r="E46" s="108">
        <v>390</v>
      </c>
      <c r="F46" s="798">
        <v>226</v>
      </c>
    </row>
    <row r="47" spans="2:7" s="82" customFormat="1" ht="12.75" customHeight="1" x14ac:dyDescent="0.2">
      <c r="B47" s="104" t="s">
        <v>461</v>
      </c>
      <c r="C47" s="104"/>
      <c r="D47" s="79"/>
      <c r="E47" s="797">
        <f>SUM(E45:E46)</f>
        <v>2766</v>
      </c>
      <c r="F47" s="801">
        <f>SUM(F45:F46)</f>
        <v>1845</v>
      </c>
      <c r="G47" s="79"/>
    </row>
    <row r="48" spans="2:7" ht="12.75" customHeight="1" x14ac:dyDescent="0.2">
      <c r="B48" s="106"/>
      <c r="E48" s="108"/>
      <c r="F48" s="737"/>
    </row>
    <row r="49" spans="2:7" ht="12.75" customHeight="1" x14ac:dyDescent="0.2">
      <c r="B49" s="104" t="s">
        <v>462</v>
      </c>
      <c r="E49" s="108"/>
      <c r="F49" s="737"/>
    </row>
    <row r="50" spans="2:7" ht="12.75" customHeight="1" x14ac:dyDescent="0.2">
      <c r="B50" s="395"/>
      <c r="C50" s="106" t="s">
        <v>310</v>
      </c>
      <c r="E50" s="108">
        <v>-3483</v>
      </c>
      <c r="F50" s="798">
        <v>-5270</v>
      </c>
    </row>
    <row r="51" spans="2:7" ht="12.75" customHeight="1" x14ac:dyDescent="0.2">
      <c r="B51" s="395"/>
      <c r="C51" s="106" t="s">
        <v>69</v>
      </c>
      <c r="E51" s="795">
        <v>6366</v>
      </c>
      <c r="F51" s="799">
        <v>49817</v>
      </c>
    </row>
    <row r="52" spans="2:7" ht="12.75" customHeight="1" x14ac:dyDescent="0.2">
      <c r="B52" s="104" t="s">
        <v>463</v>
      </c>
      <c r="E52" s="796">
        <f>SUM(E50:E51)</f>
        <v>2883</v>
      </c>
      <c r="F52" s="800">
        <f>SUM(F50:F51)</f>
        <v>44547</v>
      </c>
    </row>
    <row r="53" spans="2:7" ht="12.75" customHeight="1" x14ac:dyDescent="0.2">
      <c r="B53" s="106" t="s">
        <v>84</v>
      </c>
      <c r="E53" s="795">
        <v>7833</v>
      </c>
      <c r="F53" s="799">
        <v>-38070</v>
      </c>
    </row>
    <row r="54" spans="2:7" ht="12.75" customHeight="1" x14ac:dyDescent="0.2">
      <c r="B54" s="104" t="s">
        <v>522</v>
      </c>
      <c r="E54" s="796">
        <f>SUM(E52:E53)</f>
        <v>10716</v>
      </c>
      <c r="F54" s="800">
        <f>SUM(F52:F53)</f>
        <v>6477</v>
      </c>
    </row>
    <row r="55" spans="2:7" ht="12.75" customHeight="1" x14ac:dyDescent="0.2">
      <c r="B55" s="106" t="s">
        <v>464</v>
      </c>
      <c r="E55" s="108">
        <v>575</v>
      </c>
      <c r="F55" s="798">
        <v>281</v>
      </c>
    </row>
    <row r="56" spans="2:7" ht="12.75" customHeight="1" x14ac:dyDescent="0.2">
      <c r="B56" s="104" t="s">
        <v>465</v>
      </c>
      <c r="E56" s="797">
        <f>SUM(E54:E55)</f>
        <v>11291</v>
      </c>
      <c r="F56" s="801">
        <f>SUM(F54:F55)</f>
        <v>6758</v>
      </c>
    </row>
    <row r="57" spans="2:7" ht="3.95" customHeight="1" x14ac:dyDescent="0.2">
      <c r="B57" s="106"/>
      <c r="E57" s="796"/>
      <c r="F57" s="678"/>
    </row>
    <row r="58" spans="2:7" ht="12.75" customHeight="1" x14ac:dyDescent="0.2">
      <c r="B58" s="130" t="s">
        <v>88</v>
      </c>
      <c r="E58" s="802"/>
      <c r="F58" s="108"/>
    </row>
    <row r="59" spans="2:7" s="82" customFormat="1" ht="12.75" customHeight="1" x14ac:dyDescent="0.2">
      <c r="B59" s="80" t="s">
        <v>89</v>
      </c>
      <c r="C59" s="104"/>
      <c r="D59" s="79"/>
      <c r="E59" s="796">
        <v>5399</v>
      </c>
      <c r="F59" s="800">
        <v>4642</v>
      </c>
      <c r="G59" s="79"/>
    </row>
    <row r="60" spans="2:7" ht="12.75" customHeight="1" x14ac:dyDescent="0.2">
      <c r="B60" s="465" t="s">
        <v>90</v>
      </c>
      <c r="E60" s="108"/>
      <c r="F60" s="798"/>
    </row>
    <row r="61" spans="2:7" ht="12.75" customHeight="1" x14ac:dyDescent="0.2">
      <c r="B61" s="395"/>
      <c r="C61" s="790" t="s">
        <v>512</v>
      </c>
      <c r="D61" s="136"/>
      <c r="E61" s="108">
        <v>-7700</v>
      </c>
      <c r="F61" s="798">
        <v>-6600</v>
      </c>
      <c r="G61" s="136"/>
    </row>
    <row r="62" spans="2:7" ht="12.75" customHeight="1" x14ac:dyDescent="0.2">
      <c r="B62" s="395"/>
      <c r="C62" s="790" t="s">
        <v>513</v>
      </c>
      <c r="D62" s="136"/>
      <c r="E62" s="108">
        <v>-249</v>
      </c>
      <c r="F62" s="798">
        <v>-551</v>
      </c>
      <c r="G62" s="136"/>
    </row>
    <row r="63" spans="2:7" ht="12.75" customHeight="1" x14ac:dyDescent="0.2">
      <c r="B63" s="395"/>
      <c r="C63" s="790" t="s">
        <v>514</v>
      </c>
      <c r="D63" s="136"/>
      <c r="E63" s="108">
        <v>-311</v>
      </c>
      <c r="F63" s="798">
        <v>-355</v>
      </c>
      <c r="G63" s="136"/>
    </row>
    <row r="64" spans="2:7" ht="12.75" customHeight="1" x14ac:dyDescent="0.2">
      <c r="B64" s="395"/>
      <c r="C64" s="790" t="s">
        <v>91</v>
      </c>
      <c r="D64" s="136"/>
      <c r="E64" s="108">
        <v>468</v>
      </c>
      <c r="F64" s="798">
        <v>-717</v>
      </c>
      <c r="G64" s="136"/>
    </row>
    <row r="65" spans="2:7" ht="12.75" customHeight="1" x14ac:dyDescent="0.2">
      <c r="B65" s="395"/>
      <c r="C65" s="790" t="s">
        <v>515</v>
      </c>
      <c r="D65" s="136"/>
      <c r="E65" s="108">
        <v>0</v>
      </c>
      <c r="F65" s="798">
        <v>46520</v>
      </c>
      <c r="G65" s="136"/>
    </row>
    <row r="66" spans="2:7" ht="12.75" customHeight="1" x14ac:dyDescent="0.2">
      <c r="B66" s="395"/>
      <c r="C66" s="790" t="s">
        <v>92</v>
      </c>
      <c r="D66" s="136"/>
      <c r="E66" s="108">
        <v>10</v>
      </c>
      <c r="F66" s="798">
        <v>-149</v>
      </c>
      <c r="G66" s="136"/>
    </row>
    <row r="67" spans="2:7" ht="12.75" customHeight="1" x14ac:dyDescent="0.2">
      <c r="B67" s="395"/>
      <c r="C67" s="790" t="s">
        <v>93</v>
      </c>
      <c r="D67" s="136"/>
      <c r="E67" s="795">
        <v>-51</v>
      </c>
      <c r="F67" s="799">
        <v>-78</v>
      </c>
      <c r="G67" s="136"/>
    </row>
    <row r="68" spans="2:7" s="82" customFormat="1" ht="12.75" customHeight="1" x14ac:dyDescent="0.2">
      <c r="B68" s="80"/>
      <c r="C68" s="104"/>
      <c r="D68" s="79"/>
      <c r="E68" s="796">
        <f>SUM(E61:E67)</f>
        <v>-7833</v>
      </c>
      <c r="F68" s="800">
        <f>SUM(F61:F67)</f>
        <v>38070</v>
      </c>
      <c r="G68" s="79"/>
    </row>
    <row r="69" spans="2:7" ht="14.25" customHeight="1" x14ac:dyDescent="0.2">
      <c r="B69" s="465" t="s">
        <v>94</v>
      </c>
      <c r="E69" s="108">
        <v>150</v>
      </c>
      <c r="F69" s="798">
        <v>17511</v>
      </c>
    </row>
    <row r="70" spans="2:7" ht="12.75" customHeight="1" x14ac:dyDescent="0.2">
      <c r="B70" s="465" t="s">
        <v>516</v>
      </c>
      <c r="E70" s="108">
        <v>2669</v>
      </c>
      <c r="F70" s="798">
        <v>-1019</v>
      </c>
    </row>
    <row r="71" spans="2:7" ht="14.25" customHeight="1" x14ac:dyDescent="0.2">
      <c r="B71" s="465" t="s">
        <v>95</v>
      </c>
      <c r="E71" s="108">
        <v>28</v>
      </c>
      <c r="F71" s="798">
        <v>50</v>
      </c>
    </row>
    <row r="72" spans="2:7" ht="3.95" customHeight="1" x14ac:dyDescent="0.2">
      <c r="B72" s="106"/>
      <c r="E72" s="108"/>
      <c r="F72" s="798"/>
    </row>
    <row r="73" spans="2:7" s="82" customFormat="1" ht="12.75" customHeight="1" x14ac:dyDescent="0.2">
      <c r="B73" s="80" t="s">
        <v>96</v>
      </c>
      <c r="C73" s="104"/>
      <c r="D73" s="79"/>
      <c r="E73" s="797">
        <f>+E71+E70+E69+E68+E59</f>
        <v>413</v>
      </c>
      <c r="F73" s="801">
        <f>+F71+F70+F69+F68+F59</f>
        <v>59254</v>
      </c>
      <c r="G73" s="79"/>
    </row>
    <row r="74" spans="2:7" ht="3.95" customHeight="1" x14ac:dyDescent="0.2">
      <c r="C74" s="80"/>
      <c r="E74" s="76"/>
      <c r="F74" s="76"/>
    </row>
    <row r="75" spans="2:7" ht="3.95" customHeight="1" x14ac:dyDescent="0.2">
      <c r="C75" s="80"/>
      <c r="E75" s="76"/>
      <c r="F75" s="76"/>
    </row>
    <row r="76" spans="2:7" ht="12.75" customHeight="1" x14ac:dyDescent="0.2">
      <c r="B76" s="366" t="s">
        <v>97</v>
      </c>
      <c r="C76" s="80"/>
      <c r="E76" s="76"/>
      <c r="F76" s="76"/>
    </row>
    <row r="77" spans="2:7" ht="49.5" customHeight="1" x14ac:dyDescent="0.2">
      <c r="B77" s="137" t="s">
        <v>41</v>
      </c>
      <c r="C77" s="842" t="s">
        <v>469</v>
      </c>
      <c r="D77" s="842"/>
      <c r="E77" s="842"/>
      <c r="F77" s="842"/>
      <c r="G77" s="65"/>
    </row>
    <row r="84" ht="17.25" customHeight="1" x14ac:dyDescent="0.2"/>
    <row r="89" ht="12.75" customHeight="1" x14ac:dyDescent="0.2"/>
    <row r="90" ht="12.75" customHeight="1" x14ac:dyDescent="0.2"/>
    <row r="91" ht="12.75" customHeight="1" x14ac:dyDescent="0.2"/>
    <row r="92" ht="12.75" customHeight="1" x14ac:dyDescent="0.2"/>
    <row r="94" ht="12.75" customHeight="1" x14ac:dyDescent="0.2"/>
  </sheetData>
  <sheetProtection formatCells="0" formatColumns="0" formatRows="0" sort="0" autoFilter="0" pivotTables="0"/>
  <mergeCells count="1">
    <mergeCell ref="C77:F77"/>
  </mergeCells>
  <hyperlinks>
    <hyperlink ref="A1" location="Index!A1" display="Index"/>
  </hyperlinks>
  <pageMargins left="0.75" right="0.75" top="1" bottom="1" header="0.5" footer="0.5"/>
  <pageSetup scale="78" orientation="portrait" horizontalDpi="300" verticalDpi="300" r:id="rId1"/>
  <headerFooter alignWithMargins="0">
    <oddHeader>&amp;L&amp;"Vodafone Rg,Regular"Vodafone Group Plc&amp;C&amp;"Vodafone Rg,Regular"03 Adjusted income statement</oddHeader>
  </headerFooter>
  <rowBreaks count="4" manualBreakCount="4">
    <brk id="105" max="16383" man="1"/>
    <brk id="175" max="16383" man="1"/>
    <brk id="273" max="16383" man="1"/>
    <brk id="3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6"/>
  <sheetViews>
    <sheetView showGridLines="0" zoomScale="70" zoomScaleNormal="70" zoomScaleSheetLayoutView="75" workbookViewId="0">
      <selection activeCell="K27" sqref="K27"/>
    </sheetView>
  </sheetViews>
  <sheetFormatPr defaultRowHeight="12.75" x14ac:dyDescent="0.2"/>
  <cols>
    <col min="1" max="1" width="5.42578125" style="65" customWidth="1"/>
    <col min="2" max="2" width="3.7109375" style="471" customWidth="1"/>
    <col min="3" max="3" width="50.7109375" style="65" customWidth="1"/>
    <col min="4" max="4" width="10.85546875" style="65" customWidth="1"/>
    <col min="5" max="5" width="3.7109375" style="65" customWidth="1"/>
    <col min="6" max="12" width="10.5703125" style="65" customWidth="1"/>
    <col min="13" max="13" width="9.140625" style="471" customWidth="1"/>
    <col min="14" max="28" width="9.140625" style="65" customWidth="1"/>
    <col min="29" max="258" width="11.42578125" style="65" customWidth="1"/>
    <col min="259" max="16384" width="9.140625" style="65"/>
  </cols>
  <sheetData>
    <row r="1" spans="1:14" ht="12.75" customHeight="1" x14ac:dyDescent="0.2">
      <c r="A1" s="688" t="s">
        <v>414</v>
      </c>
      <c r="B1" s="13"/>
      <c r="C1" s="471"/>
      <c r="D1" s="471"/>
      <c r="E1" s="471"/>
      <c r="F1" s="138" t="s">
        <v>49</v>
      </c>
      <c r="G1" s="138" t="s">
        <v>299</v>
      </c>
      <c r="H1" s="17" t="s">
        <v>50</v>
      </c>
      <c r="I1" s="17" t="s">
        <v>403</v>
      </c>
      <c r="J1" s="17"/>
      <c r="K1" s="138" t="s">
        <v>51</v>
      </c>
      <c r="L1" s="138" t="s">
        <v>199</v>
      </c>
    </row>
    <row r="2" spans="1:14" ht="12.75" customHeight="1" x14ac:dyDescent="0.2">
      <c r="B2" s="21"/>
      <c r="C2" s="471"/>
      <c r="D2" s="471"/>
      <c r="E2" s="471"/>
      <c r="F2" s="371" t="s">
        <v>14</v>
      </c>
      <c r="G2" s="371" t="s">
        <v>14</v>
      </c>
      <c r="H2" s="372" t="s">
        <v>14</v>
      </c>
      <c r="I2" s="372" t="s">
        <v>14</v>
      </c>
      <c r="J2" s="17"/>
      <c r="K2" s="371" t="s">
        <v>14</v>
      </c>
      <c r="L2" s="371" t="s">
        <v>14</v>
      </c>
    </row>
    <row r="3" spans="1:14" s="45" customFormat="1" ht="12.75" customHeight="1" x14ac:dyDescent="0.2">
      <c r="B3" s="844" t="s">
        <v>58</v>
      </c>
      <c r="C3" s="845"/>
      <c r="D3" s="21"/>
      <c r="E3" s="21"/>
      <c r="F3" s="140">
        <v>5596</v>
      </c>
      <c r="G3" s="140">
        <f>K3-F3</f>
        <v>5870</v>
      </c>
      <c r="H3" s="145">
        <v>5576</v>
      </c>
      <c r="I3" s="388">
        <f>11084-H3</f>
        <v>5508</v>
      </c>
      <c r="J3" s="141"/>
      <c r="K3" s="140">
        <v>11466</v>
      </c>
      <c r="L3" s="671">
        <f>SUM(H3:I3)</f>
        <v>11084</v>
      </c>
      <c r="N3" s="457"/>
    </row>
    <row r="4" spans="1:14" s="45" customFormat="1" ht="12.75" customHeight="1" x14ac:dyDescent="0.2">
      <c r="B4" s="467" t="s">
        <v>99</v>
      </c>
      <c r="C4" s="468"/>
      <c r="D4" s="21"/>
      <c r="E4" s="21"/>
      <c r="F4" s="140">
        <v>-542</v>
      </c>
      <c r="G4" s="140">
        <f>K4-F4</f>
        <v>719</v>
      </c>
      <c r="H4" s="145">
        <v>15</v>
      </c>
      <c r="I4" s="388">
        <f>1382-H4-1</f>
        <v>1366</v>
      </c>
      <c r="J4" s="141"/>
      <c r="K4" s="140">
        <v>177</v>
      </c>
      <c r="L4" s="671">
        <f>SUM(H4:I4)</f>
        <v>1381</v>
      </c>
      <c r="N4" s="457"/>
    </row>
    <row r="5" spans="1:14" s="45" customFormat="1" ht="14.25" customHeight="1" x14ac:dyDescent="0.2">
      <c r="B5" s="467" t="s">
        <v>287</v>
      </c>
      <c r="C5" s="468"/>
      <c r="D5" s="21"/>
      <c r="E5" s="21"/>
      <c r="F5" s="142">
        <v>9</v>
      </c>
      <c r="G5" s="142">
        <f t="shared" ref="G5" si="0">K5-F5</f>
        <v>-158</v>
      </c>
      <c r="H5" s="680">
        <v>-122</v>
      </c>
      <c r="I5" s="740">
        <f>-319-H5+1</f>
        <v>-196</v>
      </c>
      <c r="J5" s="141"/>
      <c r="K5" s="142">
        <f>K7-K3-K4</f>
        <v>-149</v>
      </c>
      <c r="L5" s="672">
        <f>L7-L3-L4</f>
        <v>-318</v>
      </c>
      <c r="N5" s="457"/>
    </row>
    <row r="6" spans="1:14" s="45" customFormat="1" ht="4.5" customHeight="1" x14ac:dyDescent="0.2">
      <c r="B6" s="467"/>
      <c r="C6" s="468"/>
      <c r="D6" s="21"/>
      <c r="E6" s="21"/>
      <c r="F6" s="143"/>
      <c r="G6" s="143"/>
      <c r="H6" s="141"/>
      <c r="I6" s="739"/>
      <c r="J6" s="141"/>
      <c r="K6" s="143"/>
      <c r="L6" s="673"/>
      <c r="N6" s="457"/>
    </row>
    <row r="7" spans="1:14" s="45" customFormat="1" ht="12.75" customHeight="1" x14ac:dyDescent="0.2">
      <c r="B7" s="469" t="s">
        <v>100</v>
      </c>
      <c r="C7" s="470"/>
      <c r="D7" s="21"/>
      <c r="E7" s="21"/>
      <c r="F7" s="144">
        <f>SUM(F3:F6)</f>
        <v>5063</v>
      </c>
      <c r="G7" s="144">
        <f>SUM(G3:G6)</f>
        <v>6431</v>
      </c>
      <c r="H7" s="141">
        <v>5469</v>
      </c>
      <c r="I7" s="739">
        <f>SUM(I3:I5)</f>
        <v>6678</v>
      </c>
      <c r="J7" s="141"/>
      <c r="K7" s="144">
        <v>11494</v>
      </c>
      <c r="L7" s="674">
        <f>SUM(H7:I7)</f>
        <v>12147</v>
      </c>
      <c r="N7" s="457"/>
    </row>
    <row r="8" spans="1:14" ht="3.95" customHeight="1" x14ac:dyDescent="0.2">
      <c r="B8" s="467"/>
      <c r="C8" s="467"/>
      <c r="D8" s="471"/>
      <c r="E8" s="471"/>
      <c r="F8" s="140"/>
      <c r="G8" s="140"/>
      <c r="H8" s="145"/>
      <c r="I8" s="388"/>
      <c r="J8" s="145"/>
      <c r="K8" s="140"/>
      <c r="L8" s="671"/>
      <c r="N8" s="457"/>
    </row>
    <row r="9" spans="1:14" ht="14.25" customHeight="1" x14ac:dyDescent="0.2">
      <c r="B9" s="846" t="s">
        <v>101</v>
      </c>
      <c r="C9" s="847"/>
      <c r="D9" s="146"/>
      <c r="E9" s="471"/>
      <c r="F9" s="147">
        <f>+F10+F11</f>
        <v>-2519</v>
      </c>
      <c r="G9" s="147">
        <f>+G10+G11</f>
        <v>-2698</v>
      </c>
      <c r="H9" s="148">
        <f t="shared" ref="H9:I9" si="1">+H10+H11</f>
        <v>-2869</v>
      </c>
      <c r="I9" s="742">
        <f t="shared" si="1"/>
        <v>-2988</v>
      </c>
      <c r="J9" s="148"/>
      <c r="K9" s="147">
        <v>-5217</v>
      </c>
      <c r="L9" s="675">
        <f>SUM(H9:I9)</f>
        <v>-5857</v>
      </c>
      <c r="N9" s="457"/>
    </row>
    <row r="10" spans="1:14" ht="12.75" customHeight="1" x14ac:dyDescent="0.2">
      <c r="B10" s="87"/>
      <c r="C10" s="149" t="s">
        <v>102</v>
      </c>
      <c r="D10" s="150"/>
      <c r="E10" s="151"/>
      <c r="F10" s="152">
        <v>-2038</v>
      </c>
      <c r="G10" s="152">
        <f t="shared" ref="G10:G13" si="2">K10-F10</f>
        <v>-3254</v>
      </c>
      <c r="H10" s="681">
        <v>-2329</v>
      </c>
      <c r="I10" s="743">
        <f>-6313-H10</f>
        <v>-3984</v>
      </c>
      <c r="J10" s="374"/>
      <c r="K10" s="152">
        <v>-5292</v>
      </c>
      <c r="L10" s="676">
        <f>SUM(H10:I10)</f>
        <v>-6313</v>
      </c>
      <c r="N10" s="457"/>
    </row>
    <row r="11" spans="1:14" ht="12.75" customHeight="1" x14ac:dyDescent="0.2">
      <c r="B11" s="87"/>
      <c r="C11" s="153" t="s">
        <v>103</v>
      </c>
      <c r="D11" s="154"/>
      <c r="E11" s="155"/>
      <c r="F11" s="142">
        <v>-481</v>
      </c>
      <c r="G11" s="142">
        <f t="shared" si="2"/>
        <v>556</v>
      </c>
      <c r="H11" s="680">
        <v>-540</v>
      </c>
      <c r="I11" s="740">
        <f>456-H11</f>
        <v>996</v>
      </c>
      <c r="J11" s="374"/>
      <c r="K11" s="142">
        <v>75</v>
      </c>
      <c r="L11" s="672">
        <f>SUM(H11:I11)</f>
        <v>456</v>
      </c>
      <c r="N11" s="457"/>
    </row>
    <row r="12" spans="1:14" ht="12.75" customHeight="1" x14ac:dyDescent="0.2">
      <c r="B12" s="844" t="s">
        <v>104</v>
      </c>
      <c r="C12" s="844"/>
      <c r="D12" s="146"/>
      <c r="E12" s="471"/>
      <c r="F12" s="140">
        <v>32</v>
      </c>
      <c r="G12" s="140">
        <f t="shared" si="2"/>
        <v>73</v>
      </c>
      <c r="H12" s="145">
        <v>32</v>
      </c>
      <c r="I12" s="388">
        <f>79-H12</f>
        <v>47</v>
      </c>
      <c r="J12" s="145"/>
      <c r="K12" s="140">
        <v>105</v>
      </c>
      <c r="L12" s="671">
        <f>SUM(H12:I12)</f>
        <v>79</v>
      </c>
      <c r="N12" s="457"/>
    </row>
    <row r="13" spans="1:14" ht="3.95" customHeight="1" x14ac:dyDescent="0.2">
      <c r="B13" s="467"/>
      <c r="C13" s="467"/>
      <c r="D13" s="156"/>
      <c r="E13" s="471"/>
      <c r="F13" s="142"/>
      <c r="G13" s="142">
        <f t="shared" si="2"/>
        <v>0</v>
      </c>
      <c r="H13" s="680"/>
      <c r="I13" s="740"/>
      <c r="J13" s="145"/>
      <c r="K13" s="142"/>
      <c r="L13" s="672"/>
      <c r="N13" s="457"/>
    </row>
    <row r="14" spans="1:14" s="45" customFormat="1" ht="12.75" customHeight="1" x14ac:dyDescent="0.2">
      <c r="B14" s="848" t="s">
        <v>105</v>
      </c>
      <c r="C14" s="849"/>
      <c r="D14" s="156"/>
      <c r="E14" s="21"/>
      <c r="F14" s="144">
        <f>+F7+F9+F12</f>
        <v>2576</v>
      </c>
      <c r="G14" s="144">
        <f>+G7+G9+G12</f>
        <v>3806</v>
      </c>
      <c r="H14" s="141">
        <v>2632</v>
      </c>
      <c r="I14" s="739">
        <f>SUM(I12,I9,I7)</f>
        <v>3737</v>
      </c>
      <c r="J14" s="141"/>
      <c r="K14" s="144">
        <v>6382</v>
      </c>
      <c r="L14" s="133">
        <f>SUM(L12,L9,L7)</f>
        <v>6369</v>
      </c>
      <c r="N14" s="457"/>
    </row>
    <row r="15" spans="1:14" ht="3.95" customHeight="1" x14ac:dyDescent="0.2">
      <c r="B15" s="157"/>
      <c r="C15" s="467"/>
      <c r="D15" s="146"/>
      <c r="E15" s="471"/>
      <c r="F15" s="140"/>
      <c r="G15" s="140"/>
      <c r="H15" s="145"/>
      <c r="I15" s="388"/>
      <c r="J15" s="145"/>
      <c r="K15" s="140"/>
      <c r="L15" s="671"/>
      <c r="N15" s="457"/>
    </row>
    <row r="16" spans="1:14" s="45" customFormat="1" ht="12.75" customHeight="1" x14ac:dyDescent="0.2">
      <c r="B16" s="467" t="s">
        <v>106</v>
      </c>
      <c r="C16" s="469"/>
      <c r="E16" s="21"/>
      <c r="F16" s="140">
        <v>-1157</v>
      </c>
      <c r="G16" s="140">
        <f t="shared" ref="G16:G19" si="3">K16-F16</f>
        <v>-1413</v>
      </c>
      <c r="H16" s="145">
        <v>-1491</v>
      </c>
      <c r="I16" s="388">
        <f>-3449-H16</f>
        <v>-1958</v>
      </c>
      <c r="J16" s="141"/>
      <c r="K16" s="140">
        <v>-2570</v>
      </c>
      <c r="L16" s="671">
        <f>SUM(H16:I16)</f>
        <v>-3449</v>
      </c>
      <c r="N16" s="457"/>
    </row>
    <row r="17" spans="2:14" ht="14.25" customHeight="1" x14ac:dyDescent="0.2">
      <c r="B17" s="158" t="s">
        <v>107</v>
      </c>
      <c r="C17" s="467"/>
      <c r="D17" s="146"/>
      <c r="E17" s="471"/>
      <c r="F17" s="140">
        <v>1166</v>
      </c>
      <c r="G17" s="140">
        <f t="shared" si="3"/>
        <v>1966</v>
      </c>
      <c r="H17" s="145">
        <v>1453</v>
      </c>
      <c r="I17" s="388">
        <f>2842-H17</f>
        <v>1389</v>
      </c>
      <c r="J17" s="145"/>
      <c r="K17" s="140">
        <v>3132</v>
      </c>
      <c r="L17" s="671">
        <f>SUM(H17:I17)</f>
        <v>2842</v>
      </c>
      <c r="N17" s="457"/>
    </row>
    <row r="18" spans="2:14" ht="12.75" customHeight="1" x14ac:dyDescent="0.2">
      <c r="B18" s="158" t="s">
        <v>108</v>
      </c>
      <c r="C18" s="467"/>
      <c r="D18" s="146"/>
      <c r="E18" s="471"/>
      <c r="F18" s="140">
        <v>-247</v>
      </c>
      <c r="G18" s="140">
        <f t="shared" si="3"/>
        <v>-132</v>
      </c>
      <c r="H18" s="145">
        <v>-150</v>
      </c>
      <c r="I18" s="388">
        <f>-264-H18</f>
        <v>-114</v>
      </c>
      <c r="J18" s="145"/>
      <c r="K18" s="140">
        <v>-379</v>
      </c>
      <c r="L18" s="671">
        <f>SUM(H18:I18)</f>
        <v>-264</v>
      </c>
      <c r="N18" s="457"/>
    </row>
    <row r="19" spans="2:14" ht="12.75" customHeight="1" x14ac:dyDescent="0.2">
      <c r="B19" s="158" t="s">
        <v>109</v>
      </c>
      <c r="C19" s="467"/>
      <c r="D19" s="146"/>
      <c r="E19" s="471"/>
      <c r="F19" s="140">
        <v>-567</v>
      </c>
      <c r="G19" s="140">
        <f t="shared" si="3"/>
        <v>-497</v>
      </c>
      <c r="H19" s="145">
        <v>-604</v>
      </c>
      <c r="I19" s="388">
        <f>-1315-H19</f>
        <v>-711</v>
      </c>
      <c r="J19" s="145"/>
      <c r="K19" s="140">
        <v>-1064</v>
      </c>
      <c r="L19" s="671">
        <f>SUM(H19:I19)</f>
        <v>-1315</v>
      </c>
      <c r="N19" s="457"/>
    </row>
    <row r="20" spans="2:14" ht="4.5" customHeight="1" x14ac:dyDescent="0.2">
      <c r="B20" s="87"/>
      <c r="C20" s="467"/>
      <c r="D20" s="464"/>
      <c r="E20" s="471"/>
      <c r="F20" s="142">
        <v>0</v>
      </c>
      <c r="G20" s="142"/>
      <c r="H20" s="680"/>
      <c r="I20" s="740"/>
      <c r="J20" s="145"/>
      <c r="K20" s="142"/>
      <c r="L20" s="672"/>
      <c r="N20" s="457"/>
    </row>
    <row r="21" spans="2:14" ht="12.75" customHeight="1" x14ac:dyDescent="0.2">
      <c r="B21" s="159" t="s">
        <v>110</v>
      </c>
      <c r="C21" s="467"/>
      <c r="D21" s="464"/>
      <c r="E21" s="471"/>
      <c r="F21" s="144">
        <f>SUM(F14:F19)</f>
        <v>1771</v>
      </c>
      <c r="G21" s="144">
        <f>SUM(G14:G19)</f>
        <v>3730</v>
      </c>
      <c r="H21" s="141">
        <v>1840</v>
      </c>
      <c r="I21" s="739">
        <f>SUM(I14:I19)</f>
        <v>2343</v>
      </c>
      <c r="J21" s="145"/>
      <c r="K21" s="144">
        <v>5501</v>
      </c>
      <c r="L21" s="133">
        <f>SUM(L14:L19)</f>
        <v>4183</v>
      </c>
      <c r="N21" s="457"/>
    </row>
    <row r="22" spans="2:14" ht="4.5" customHeight="1" x14ac:dyDescent="0.2">
      <c r="B22" s="159"/>
      <c r="C22" s="467"/>
      <c r="D22" s="464"/>
      <c r="E22" s="471"/>
      <c r="F22" s="140"/>
      <c r="G22" s="140"/>
      <c r="H22" s="145"/>
      <c r="I22" s="388"/>
      <c r="J22" s="145"/>
      <c r="K22" s="140"/>
      <c r="L22" s="671"/>
      <c r="N22" s="457"/>
    </row>
    <row r="23" spans="2:14" ht="13.5" customHeight="1" x14ac:dyDescent="0.2">
      <c r="B23" s="160" t="s">
        <v>111</v>
      </c>
      <c r="C23" s="467"/>
      <c r="D23" s="464"/>
      <c r="E23" s="471"/>
      <c r="F23" s="140">
        <v>-100</v>
      </c>
      <c r="G23" s="140">
        <f t="shared" ref="G23:G31" si="4">K23-F23</f>
        <v>0</v>
      </c>
      <c r="H23" s="145">
        <v>-100</v>
      </c>
      <c r="I23" s="388">
        <v>0</v>
      </c>
      <c r="J23" s="145"/>
      <c r="K23" s="140">
        <v>-100</v>
      </c>
      <c r="L23" s="671">
        <f t="shared" ref="L23:L31" si="5">SUM(H23:I23)</f>
        <v>-100</v>
      </c>
      <c r="N23" s="457"/>
    </row>
    <row r="24" spans="2:14" ht="12.75" customHeight="1" x14ac:dyDescent="0.2">
      <c r="B24" s="160" t="s">
        <v>112</v>
      </c>
      <c r="C24" s="467"/>
      <c r="D24" s="464"/>
      <c r="E24" s="471"/>
      <c r="F24" s="140">
        <v>-346</v>
      </c>
      <c r="G24" s="140">
        <f t="shared" si="4"/>
        <v>-2153</v>
      </c>
      <c r="H24" s="145">
        <v>-158</v>
      </c>
      <c r="I24" s="388">
        <f>-862-H24</f>
        <v>-704</v>
      </c>
      <c r="J24" s="145"/>
      <c r="K24" s="140">
        <v>-2499</v>
      </c>
      <c r="L24" s="671">
        <f t="shared" si="5"/>
        <v>-862</v>
      </c>
      <c r="N24" s="457"/>
    </row>
    <row r="25" spans="2:14" ht="14.25" customHeight="1" x14ac:dyDescent="0.2">
      <c r="B25" s="160" t="s">
        <v>113</v>
      </c>
      <c r="C25" s="467"/>
      <c r="D25" s="464"/>
      <c r="E25" s="471"/>
      <c r="F25" s="140">
        <v>-1297</v>
      </c>
      <c r="G25" s="140">
        <f t="shared" si="4"/>
        <v>-426</v>
      </c>
      <c r="H25" s="145">
        <v>-131</v>
      </c>
      <c r="I25" s="388">
        <f>27372-H25</f>
        <v>27503</v>
      </c>
      <c r="J25" s="145"/>
      <c r="K25" s="140">
        <v>-1723</v>
      </c>
      <c r="L25" s="671">
        <f t="shared" si="5"/>
        <v>27372</v>
      </c>
      <c r="N25" s="457"/>
    </row>
    <row r="26" spans="2:14" ht="12.75" customHeight="1" x14ac:dyDescent="0.2">
      <c r="B26" s="160" t="s">
        <v>114</v>
      </c>
      <c r="C26" s="467"/>
      <c r="D26" s="464"/>
      <c r="E26" s="471"/>
      <c r="F26" s="140">
        <v>-3193</v>
      </c>
      <c r="G26" s="140">
        <f t="shared" si="4"/>
        <v>-1613</v>
      </c>
      <c r="H26" s="145">
        <v>-3360</v>
      </c>
      <c r="I26" s="388">
        <f>-5076-H26</f>
        <v>-1716</v>
      </c>
      <c r="J26" s="145"/>
      <c r="K26" s="140">
        <v>-4806</v>
      </c>
      <c r="L26" s="671">
        <f t="shared" si="5"/>
        <v>-5076</v>
      </c>
      <c r="N26" s="457"/>
    </row>
    <row r="27" spans="2:14" ht="12.75" customHeight="1" x14ac:dyDescent="0.2">
      <c r="B27" s="160" t="s">
        <v>458</v>
      </c>
      <c r="C27" s="791"/>
      <c r="D27" s="789"/>
      <c r="E27" s="792"/>
      <c r="F27" s="140">
        <v>0</v>
      </c>
      <c r="G27" s="140">
        <v>0</v>
      </c>
      <c r="H27" s="145">
        <v>0</v>
      </c>
      <c r="I27" s="388">
        <v>-14291</v>
      </c>
      <c r="J27" s="145"/>
      <c r="K27" s="140">
        <v>0</v>
      </c>
      <c r="L27" s="671">
        <f t="shared" ref="L27" si="6">SUM(H27:I27)</f>
        <v>-14291</v>
      </c>
      <c r="M27" s="792"/>
      <c r="N27" s="457"/>
    </row>
    <row r="28" spans="2:14" ht="12.75" customHeight="1" x14ac:dyDescent="0.2">
      <c r="B28" s="160" t="s">
        <v>115</v>
      </c>
      <c r="C28" s="467"/>
      <c r="D28" s="464"/>
      <c r="E28" s="471"/>
      <c r="F28" s="140">
        <v>-1126</v>
      </c>
      <c r="G28" s="140">
        <f t="shared" si="4"/>
        <v>-442</v>
      </c>
      <c r="H28" s="145">
        <v>-1033</v>
      </c>
      <c r="I28" s="388">
        <v>0</v>
      </c>
      <c r="J28" s="145"/>
      <c r="K28" s="140">
        <v>-1568</v>
      </c>
      <c r="L28" s="671">
        <f t="shared" si="5"/>
        <v>-1033</v>
      </c>
      <c r="N28" s="457"/>
    </row>
    <row r="29" spans="2:14" ht="12.75" customHeight="1" x14ac:dyDescent="0.2">
      <c r="B29" s="160" t="s">
        <v>116</v>
      </c>
      <c r="C29" s="467"/>
      <c r="D29" s="464"/>
      <c r="E29" s="471"/>
      <c r="F29" s="140">
        <v>909</v>
      </c>
      <c r="G29" s="140">
        <f t="shared" si="4"/>
        <v>-1625</v>
      </c>
      <c r="H29" s="145">
        <v>1902</v>
      </c>
      <c r="I29" s="388">
        <f>2423-H29</f>
        <v>521</v>
      </c>
      <c r="J29" s="145"/>
      <c r="K29" s="140">
        <v>-716</v>
      </c>
      <c r="L29" s="671">
        <f t="shared" si="5"/>
        <v>2423</v>
      </c>
      <c r="N29" s="457"/>
    </row>
    <row r="30" spans="2:14" ht="12.75" customHeight="1" x14ac:dyDescent="0.2">
      <c r="B30" s="160" t="s">
        <v>117</v>
      </c>
      <c r="C30" s="467"/>
      <c r="D30" s="464"/>
      <c r="E30" s="471"/>
      <c r="F30" s="140">
        <v>0</v>
      </c>
      <c r="G30" s="140">
        <f t="shared" si="4"/>
        <v>2409</v>
      </c>
      <c r="H30" s="145">
        <v>2067</v>
      </c>
      <c r="I30" s="388">
        <v>-2</v>
      </c>
      <c r="J30" s="145"/>
      <c r="K30" s="140">
        <v>2409</v>
      </c>
      <c r="L30" s="671">
        <f t="shared" si="5"/>
        <v>2065</v>
      </c>
      <c r="N30" s="457"/>
    </row>
    <row r="31" spans="2:14" ht="14.25" customHeight="1" x14ac:dyDescent="0.2">
      <c r="B31" s="160" t="s">
        <v>118</v>
      </c>
      <c r="C31" s="467"/>
      <c r="D31" s="464"/>
      <c r="E31" s="471"/>
      <c r="F31" s="140">
        <v>1914</v>
      </c>
      <c r="G31" s="140">
        <f t="shared" si="4"/>
        <v>-765</v>
      </c>
      <c r="H31" s="145">
        <v>394</v>
      </c>
      <c r="I31" s="388">
        <f>-3027-H31</f>
        <v>-3421</v>
      </c>
      <c r="J31" s="145"/>
      <c r="K31" s="140">
        <v>1149</v>
      </c>
      <c r="L31" s="671">
        <f t="shared" si="5"/>
        <v>-3027</v>
      </c>
      <c r="N31" s="457"/>
    </row>
    <row r="32" spans="2:14" ht="3.95" customHeight="1" x14ac:dyDescent="0.2">
      <c r="B32" s="87"/>
      <c r="C32" s="467"/>
      <c r="D32" s="464"/>
      <c r="E32" s="471"/>
      <c r="F32" s="142"/>
      <c r="G32" s="142"/>
      <c r="H32" s="680"/>
      <c r="I32" s="740"/>
      <c r="J32" s="145"/>
      <c r="K32" s="142"/>
      <c r="L32" s="672"/>
      <c r="N32" s="457"/>
    </row>
    <row r="33" spans="2:14" s="45" customFormat="1" ht="12.75" customHeight="1" x14ac:dyDescent="0.2">
      <c r="B33" s="161" t="s">
        <v>119</v>
      </c>
      <c r="C33" s="469"/>
      <c r="D33" s="459"/>
      <c r="E33" s="21"/>
      <c r="F33" s="144">
        <f>SUM(F21:F31)</f>
        <v>-1468</v>
      </c>
      <c r="G33" s="144">
        <f>SUM(G21:G31)</f>
        <v>-885</v>
      </c>
      <c r="H33" s="141">
        <v>1421</v>
      </c>
      <c r="I33" s="739">
        <f>SUM(I23:I31,I21)</f>
        <v>10233</v>
      </c>
      <c r="J33" s="141"/>
      <c r="K33" s="144">
        <v>-2353</v>
      </c>
      <c r="L33" s="133">
        <f>SUM(L21:L31)</f>
        <v>11654</v>
      </c>
      <c r="N33" s="457"/>
    </row>
    <row r="34" spans="2:14" x14ac:dyDescent="0.2">
      <c r="B34" s="162" t="s">
        <v>120</v>
      </c>
      <c r="C34" s="467"/>
      <c r="D34" s="464"/>
      <c r="E34" s="471"/>
      <c r="F34" s="140">
        <v>-23001</v>
      </c>
      <c r="G34" s="140">
        <f>F36</f>
        <v>-24469</v>
      </c>
      <c r="H34" s="145">
        <v>-25354</v>
      </c>
      <c r="I34" s="388">
        <f>+H36</f>
        <v>-23933</v>
      </c>
      <c r="J34" s="145"/>
      <c r="K34" s="140">
        <f>F34</f>
        <v>-23001</v>
      </c>
      <c r="L34" s="671">
        <f>H34</f>
        <v>-25354</v>
      </c>
      <c r="N34" s="457"/>
    </row>
    <row r="35" spans="2:14" ht="3.95" customHeight="1" x14ac:dyDescent="0.2">
      <c r="B35" s="162"/>
      <c r="C35" s="467"/>
      <c r="D35" s="464"/>
      <c r="E35" s="471"/>
      <c r="F35" s="140"/>
      <c r="G35" s="140"/>
      <c r="H35" s="145"/>
      <c r="I35" s="388"/>
      <c r="J35" s="145"/>
      <c r="K35" s="140"/>
      <c r="L35" s="671"/>
      <c r="N35" s="457"/>
    </row>
    <row r="36" spans="2:14" s="45" customFormat="1" ht="12.75" customHeight="1" thickBot="1" x14ac:dyDescent="0.25">
      <c r="B36" s="161" t="s">
        <v>121</v>
      </c>
      <c r="C36" s="469"/>
      <c r="D36" s="459"/>
      <c r="E36" s="21"/>
      <c r="F36" s="163">
        <f>+F34+F33</f>
        <v>-24469</v>
      </c>
      <c r="G36" s="163">
        <f>+G34+G33</f>
        <v>-25354</v>
      </c>
      <c r="H36" s="682">
        <v>-23933</v>
      </c>
      <c r="I36" s="741">
        <f>SUM(I34,I33)</f>
        <v>-13700</v>
      </c>
      <c r="J36" s="141"/>
      <c r="K36" s="163">
        <v>-25354</v>
      </c>
      <c r="L36" s="677">
        <f>I36</f>
        <v>-13700</v>
      </c>
      <c r="N36" s="457"/>
    </row>
    <row r="37" spans="2:14" ht="12.75" customHeight="1" thickTop="1" x14ac:dyDescent="0.2">
      <c r="C37" s="164"/>
      <c r="D37" s="164"/>
      <c r="E37" s="471"/>
      <c r="F37" s="71"/>
      <c r="G37" s="71"/>
      <c r="H37" s="71"/>
      <c r="I37" s="678"/>
      <c r="J37" s="71"/>
      <c r="K37" s="71"/>
      <c r="L37" s="678"/>
      <c r="N37" s="457"/>
    </row>
    <row r="38" spans="2:14" ht="14.25" customHeight="1" x14ac:dyDescent="0.2">
      <c r="B38" s="471" t="s">
        <v>122</v>
      </c>
      <c r="C38" s="164"/>
      <c r="D38" s="164"/>
      <c r="E38" s="471"/>
      <c r="F38" s="373">
        <v>2178</v>
      </c>
      <c r="G38" s="373">
        <f>K38-F38</f>
        <v>3430</v>
      </c>
      <c r="H38" s="373">
        <v>2020</v>
      </c>
      <c r="I38" s="679">
        <f>4405-2020</f>
        <v>2385</v>
      </c>
      <c r="J38" s="71"/>
      <c r="K38" s="373">
        <v>5608</v>
      </c>
      <c r="L38" s="679">
        <f>SUM(H38:I38)</f>
        <v>4405</v>
      </c>
      <c r="N38" s="457"/>
    </row>
    <row r="39" spans="2:14" ht="12.75" customHeight="1" x14ac:dyDescent="0.2">
      <c r="C39" s="164"/>
      <c r="D39" s="164"/>
      <c r="E39" s="471"/>
      <c r="F39" s="71"/>
      <c r="G39" s="71"/>
      <c r="H39" s="71"/>
      <c r="I39" s="71"/>
      <c r="J39" s="71"/>
      <c r="K39" s="71"/>
      <c r="L39" s="71"/>
    </row>
    <row r="40" spans="2:14" x14ac:dyDescent="0.2">
      <c r="B40" s="471" t="s">
        <v>40</v>
      </c>
      <c r="C40" s="164"/>
      <c r="D40" s="164"/>
      <c r="E40" s="471"/>
      <c r="F40" s="71"/>
      <c r="G40" s="71"/>
      <c r="H40" s="71"/>
      <c r="I40" s="71"/>
      <c r="J40" s="71"/>
      <c r="K40" s="71"/>
      <c r="L40" s="71"/>
    </row>
    <row r="41" spans="2:14" x14ac:dyDescent="0.2">
      <c r="B41" s="165" t="s">
        <v>41</v>
      </c>
      <c r="C41" s="843" t="s">
        <v>123</v>
      </c>
      <c r="D41" s="843"/>
      <c r="E41" s="843"/>
      <c r="F41" s="843"/>
      <c r="G41" s="843"/>
      <c r="H41" s="843"/>
      <c r="I41" s="843"/>
      <c r="J41" s="843"/>
    </row>
    <row r="42" spans="2:14" x14ac:dyDescent="0.2">
      <c r="B42" s="165"/>
      <c r="C42" s="843"/>
      <c r="D42" s="843"/>
      <c r="E42" s="843"/>
      <c r="F42" s="843"/>
      <c r="G42" s="843"/>
      <c r="H42" s="843"/>
      <c r="I42" s="843"/>
      <c r="J42" s="843"/>
    </row>
    <row r="43" spans="2:14" ht="12.75" customHeight="1" x14ac:dyDescent="0.2">
      <c r="B43" s="165" t="s">
        <v>43</v>
      </c>
      <c r="C43" s="843" t="s">
        <v>457</v>
      </c>
      <c r="D43" s="843"/>
      <c r="E43" s="843"/>
      <c r="F43" s="843"/>
      <c r="G43" s="843"/>
      <c r="H43" s="843"/>
      <c r="I43" s="843"/>
      <c r="J43" s="843"/>
    </row>
    <row r="44" spans="2:14" ht="28.5" customHeight="1" x14ac:dyDescent="0.2">
      <c r="B44" s="165"/>
      <c r="C44" s="843"/>
      <c r="D44" s="843"/>
      <c r="E44" s="843"/>
      <c r="F44" s="843"/>
      <c r="G44" s="843"/>
      <c r="H44" s="843"/>
      <c r="I44" s="843"/>
      <c r="J44" s="843"/>
    </row>
    <row r="45" spans="2:14" x14ac:dyDescent="0.2">
      <c r="B45" s="165" t="s">
        <v>124</v>
      </c>
      <c r="C45" s="843" t="s">
        <v>434</v>
      </c>
      <c r="D45" s="843"/>
      <c r="E45" s="843"/>
      <c r="F45" s="843"/>
      <c r="G45" s="843"/>
      <c r="H45" s="843"/>
      <c r="I45" s="843"/>
      <c r="J45" s="843"/>
    </row>
    <row r="46" spans="2:14" x14ac:dyDescent="0.2">
      <c r="C46" s="843"/>
      <c r="D46" s="843"/>
      <c r="E46" s="843"/>
      <c r="F46" s="843"/>
      <c r="G46" s="843"/>
      <c r="H46" s="843"/>
      <c r="I46" s="843"/>
      <c r="J46" s="843"/>
    </row>
  </sheetData>
  <sheetProtection formatCells="0" formatColumns="0" formatRows="0" sort="0" autoFilter="0" pivotTables="0"/>
  <mergeCells count="7">
    <mergeCell ref="C45:J46"/>
    <mergeCell ref="C41:J42"/>
    <mergeCell ref="B3:C3"/>
    <mergeCell ref="B9:C9"/>
    <mergeCell ref="B12:C12"/>
    <mergeCell ref="B14:C14"/>
    <mergeCell ref="C43:J44"/>
  </mergeCells>
  <hyperlinks>
    <hyperlink ref="A1" location="Index!A1" display="Index"/>
  </hyperlinks>
  <pageMargins left="0.75" right="0.75" top="1" bottom="1" header="0.5" footer="0.5"/>
  <pageSetup paperSize="9" scale="89" orientation="landscape" horizontalDpi="300" verticalDpi="300" r:id="rId1"/>
  <headerFooter alignWithMargins="0">
    <oddHeader>&amp;L&amp;"Vodafone Rg,Regular"Vodafone Group Plc&amp;C&amp;"Vodafone Rg,Regular"04 Cash flow</oddHeader>
  </headerFooter>
  <rowBreaks count="4" manualBreakCount="4">
    <brk id="87" max="16383" man="1"/>
    <brk id="157" max="16383" man="1"/>
    <brk id="255" max="16383" man="1"/>
    <brk id="3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51"/>
  <sheetViews>
    <sheetView showGridLines="0" zoomScale="70" zoomScaleNormal="70" workbookViewId="0">
      <pane xSplit="4" ySplit="5" topLeftCell="F6" activePane="bottomRight" state="frozen"/>
      <selection activeCell="C195" sqref="C195"/>
      <selection pane="topRight" activeCell="C195" sqref="C195"/>
      <selection pane="bottomLeft" activeCell="C195" sqref="C195"/>
      <selection pane="bottomRight" activeCell="AB43" sqref="AB43"/>
    </sheetView>
  </sheetViews>
  <sheetFormatPr defaultRowHeight="12.75" x14ac:dyDescent="0.2"/>
  <cols>
    <col min="1" max="1" width="7" style="404" customWidth="1"/>
    <col min="2" max="2" width="3.7109375" style="404" customWidth="1"/>
    <col min="3" max="3" width="23.140625" style="404" customWidth="1"/>
    <col min="4" max="4" width="7.28515625" style="404" customWidth="1"/>
    <col min="5" max="6" width="8.5703125" style="193" customWidth="1"/>
    <col min="7" max="8" width="8.5703125" style="404" customWidth="1"/>
    <col min="9" max="9" width="1.7109375" style="413" customWidth="1"/>
    <col min="10" max="10" width="8.5703125" style="411" customWidth="1"/>
    <col min="11" max="11" width="8.5703125" style="193" customWidth="1"/>
    <col min="12" max="13" width="8.5703125" style="404" customWidth="1"/>
    <col min="14" max="14" width="1.7109375" style="413" customWidth="1"/>
    <col min="15" max="16" width="8.5703125" style="193" customWidth="1"/>
    <col min="17" max="18" width="8.5703125" style="404" customWidth="1"/>
    <col min="19" max="19" width="1.7109375" style="413" customWidth="1"/>
    <col min="20" max="21" width="8.5703125" style="193" customWidth="1"/>
    <col min="22" max="23" width="8.5703125" style="404" customWidth="1"/>
    <col min="24" max="24" width="1.7109375" style="413" customWidth="1"/>
    <col min="25" max="26" width="8.5703125" style="193" customWidth="1"/>
    <col min="27" max="28" width="8.5703125" style="404" customWidth="1"/>
    <col min="29" max="29" width="11.42578125" style="413" customWidth="1"/>
    <col min="30" max="266" width="11.42578125" customWidth="1"/>
  </cols>
  <sheetData>
    <row r="1" spans="1:31" ht="20.25" x14ac:dyDescent="0.25">
      <c r="A1" s="688" t="s">
        <v>414</v>
      </c>
      <c r="B1" s="166" t="s">
        <v>286</v>
      </c>
      <c r="C1" s="471"/>
      <c r="D1" s="167"/>
      <c r="E1" s="15"/>
      <c r="F1" s="15"/>
      <c r="G1" s="17"/>
      <c r="H1" s="17"/>
      <c r="I1" s="471"/>
      <c r="J1" s="17"/>
      <c r="K1" s="15"/>
      <c r="L1" s="17"/>
      <c r="M1" s="17"/>
      <c r="N1" s="471"/>
      <c r="O1" s="15"/>
      <c r="P1" s="15"/>
      <c r="Q1" s="17"/>
      <c r="R1" s="17"/>
      <c r="S1" s="471"/>
      <c r="T1" s="15"/>
      <c r="U1" s="15"/>
      <c r="V1" s="17"/>
      <c r="W1" s="17"/>
      <c r="X1" s="471"/>
      <c r="Y1" s="370"/>
      <c r="Z1" s="370"/>
      <c r="AA1" s="168"/>
      <c r="AB1" s="168"/>
    </row>
    <row r="2" spans="1:31" ht="25.5" customHeight="1" x14ac:dyDescent="0.2">
      <c r="A2"/>
      <c r="B2" s="464"/>
      <c r="C2" s="169"/>
      <c r="D2" s="169"/>
      <c r="E2" s="850" t="s">
        <v>18</v>
      </c>
      <c r="F2" s="850"/>
      <c r="G2" s="850"/>
      <c r="H2" s="850"/>
      <c r="I2" s="170"/>
      <c r="J2" s="850" t="s">
        <v>284</v>
      </c>
      <c r="K2" s="850"/>
      <c r="L2" s="850"/>
      <c r="M2" s="850"/>
      <c r="N2" s="170"/>
      <c r="O2" s="850" t="s">
        <v>285</v>
      </c>
      <c r="P2" s="850"/>
      <c r="Q2" s="850"/>
      <c r="R2" s="850"/>
      <c r="S2" s="170"/>
      <c r="T2" s="850" t="s">
        <v>125</v>
      </c>
      <c r="U2" s="850"/>
      <c r="V2" s="850"/>
      <c r="W2" s="850"/>
      <c r="X2" s="170"/>
      <c r="Y2" s="850" t="s">
        <v>105</v>
      </c>
      <c r="Z2" s="850"/>
      <c r="AA2" s="850"/>
      <c r="AB2" s="850"/>
    </row>
    <row r="3" spans="1:31" ht="12.75" customHeight="1" x14ac:dyDescent="0.2">
      <c r="A3"/>
      <c r="B3" s="471"/>
      <c r="C3" s="466"/>
      <c r="D3" s="466"/>
      <c r="E3" s="171" t="s">
        <v>49</v>
      </c>
      <c r="F3" s="171" t="s">
        <v>299</v>
      </c>
      <c r="G3" s="405" t="s">
        <v>50</v>
      </c>
      <c r="H3" s="744" t="s">
        <v>403</v>
      </c>
      <c r="I3" s="172"/>
      <c r="J3" s="405" t="s">
        <v>49</v>
      </c>
      <c r="K3" s="405" t="s">
        <v>299</v>
      </c>
      <c r="L3" s="405" t="s">
        <v>50</v>
      </c>
      <c r="M3" s="744" t="s">
        <v>403</v>
      </c>
      <c r="N3" s="172"/>
      <c r="O3" s="171" t="s">
        <v>49</v>
      </c>
      <c r="P3" s="405" t="s">
        <v>299</v>
      </c>
      <c r="Q3" s="405" t="s">
        <v>50</v>
      </c>
      <c r="R3" s="744" t="s">
        <v>403</v>
      </c>
      <c r="S3" s="172"/>
      <c r="T3" s="171" t="s">
        <v>49</v>
      </c>
      <c r="U3" s="171" t="s">
        <v>299</v>
      </c>
      <c r="V3" s="405" t="s">
        <v>50</v>
      </c>
      <c r="W3" s="744" t="s">
        <v>403</v>
      </c>
      <c r="X3" s="172"/>
      <c r="Y3" s="171" t="s">
        <v>49</v>
      </c>
      <c r="Z3" s="171" t="s">
        <v>299</v>
      </c>
      <c r="AA3" s="405" t="s">
        <v>50</v>
      </c>
      <c r="AB3" s="744" t="s">
        <v>403</v>
      </c>
    </row>
    <row r="4" spans="1:31" s="173" customFormat="1" ht="12.75" customHeight="1" x14ac:dyDescent="0.2">
      <c r="B4" s="471"/>
      <c r="C4" s="466"/>
      <c r="D4" s="466"/>
      <c r="E4" s="174" t="s">
        <v>14</v>
      </c>
      <c r="F4" s="174" t="s">
        <v>67</v>
      </c>
      <c r="G4" s="406" t="s">
        <v>14</v>
      </c>
      <c r="H4" s="745" t="s">
        <v>14</v>
      </c>
      <c r="I4" s="172"/>
      <c r="J4" s="406" t="s">
        <v>14</v>
      </c>
      <c r="K4" s="406" t="s">
        <v>67</v>
      </c>
      <c r="L4" s="406" t="s">
        <v>14</v>
      </c>
      <c r="M4" s="745" t="s">
        <v>14</v>
      </c>
      <c r="N4" s="172"/>
      <c r="O4" s="174" t="s">
        <v>14</v>
      </c>
      <c r="P4" s="406" t="s">
        <v>67</v>
      </c>
      <c r="Q4" s="406" t="s">
        <v>14</v>
      </c>
      <c r="R4" s="745" t="s">
        <v>14</v>
      </c>
      <c r="S4" s="172"/>
      <c r="T4" s="174" t="s">
        <v>14</v>
      </c>
      <c r="U4" s="174" t="s">
        <v>67</v>
      </c>
      <c r="V4" s="406" t="s">
        <v>14</v>
      </c>
      <c r="W4" s="745" t="s">
        <v>14</v>
      </c>
      <c r="X4" s="172"/>
      <c r="Y4" s="174" t="s">
        <v>14</v>
      </c>
      <c r="Z4" s="174" t="s">
        <v>67</v>
      </c>
      <c r="AA4" s="406" t="s">
        <v>14</v>
      </c>
      <c r="AB4" s="745" t="s">
        <v>14</v>
      </c>
      <c r="AC4" s="414"/>
    </row>
    <row r="5" spans="1:31" ht="12.75" customHeight="1" x14ac:dyDescent="0.2">
      <c r="A5"/>
      <c r="B5" s="175" t="s">
        <v>292</v>
      </c>
      <c r="C5" s="471"/>
      <c r="D5" s="471"/>
      <c r="E5" s="171"/>
      <c r="F5" s="171"/>
      <c r="G5" s="405"/>
      <c r="H5" s="744"/>
      <c r="I5" s="176"/>
      <c r="J5" s="405"/>
      <c r="K5" s="405"/>
      <c r="L5" s="405"/>
      <c r="M5" s="744"/>
      <c r="N5" s="176"/>
      <c r="O5" s="171"/>
      <c r="P5" s="405"/>
      <c r="Q5" s="405"/>
      <c r="R5" s="744"/>
      <c r="S5" s="176"/>
      <c r="T5" s="171"/>
      <c r="U5" s="171"/>
      <c r="V5" s="405"/>
      <c r="W5" s="744"/>
      <c r="X5" s="176"/>
      <c r="Y5" s="171"/>
      <c r="Z5" s="171"/>
      <c r="AA5" s="405"/>
      <c r="AB5" s="744"/>
    </row>
    <row r="6" spans="1:31" ht="4.5" customHeight="1" x14ac:dyDescent="0.2">
      <c r="A6"/>
      <c r="B6" s="177"/>
      <c r="C6" s="471"/>
      <c r="D6" s="471"/>
      <c r="E6" s="171"/>
      <c r="F6" s="171"/>
      <c r="G6" s="405"/>
      <c r="H6" s="744"/>
      <c r="I6" s="176"/>
      <c r="J6" s="405"/>
      <c r="K6" s="405"/>
      <c r="L6" s="405"/>
      <c r="M6" s="744"/>
      <c r="N6" s="176"/>
      <c r="O6" s="171"/>
      <c r="P6" s="405"/>
      <c r="Q6" s="405"/>
      <c r="R6" s="744"/>
      <c r="S6" s="176"/>
      <c r="T6" s="171"/>
      <c r="U6" s="171"/>
      <c r="V6" s="405"/>
      <c r="W6" s="744"/>
      <c r="X6" s="176"/>
      <c r="Y6" s="171"/>
      <c r="Z6" s="171"/>
      <c r="AA6" s="405"/>
      <c r="AB6" s="744"/>
    </row>
    <row r="7" spans="1:31" ht="12.75" customHeight="1" x14ac:dyDescent="0.2">
      <c r="A7"/>
      <c r="B7" s="177" t="s">
        <v>29</v>
      </c>
      <c r="C7" s="471"/>
      <c r="D7" s="471"/>
      <c r="E7" s="178">
        <v>3891</v>
      </c>
      <c r="F7" s="178">
        <v>3966</v>
      </c>
      <c r="G7" s="407">
        <v>3900</v>
      </c>
      <c r="H7" s="746">
        <v>4372</v>
      </c>
      <c r="I7" s="412"/>
      <c r="J7" s="407">
        <v>1423</v>
      </c>
      <c r="K7" s="407">
        <v>1408</v>
      </c>
      <c r="L7" s="407">
        <v>1328</v>
      </c>
      <c r="M7" s="746">
        <f>2698-L7</f>
        <v>1370</v>
      </c>
      <c r="N7" s="407"/>
      <c r="O7" s="178">
        <v>753</v>
      </c>
      <c r="P7" s="178">
        <v>648</v>
      </c>
      <c r="Q7" s="407">
        <v>589</v>
      </c>
      <c r="R7" s="746">
        <f>918-Q7</f>
        <v>329</v>
      </c>
      <c r="S7" s="407"/>
      <c r="T7" s="178">
        <v>445</v>
      </c>
      <c r="U7" s="178">
        <v>628</v>
      </c>
      <c r="V7" s="407">
        <v>565</v>
      </c>
      <c r="W7" s="746">
        <f>1312-V7</f>
        <v>747</v>
      </c>
      <c r="X7" s="32"/>
      <c r="Y7" s="178">
        <v>720</v>
      </c>
      <c r="Z7" s="178">
        <v>997</v>
      </c>
      <c r="AA7" s="407">
        <v>697</v>
      </c>
      <c r="AB7" s="746">
        <v>920</v>
      </c>
      <c r="AD7" s="816"/>
      <c r="AE7" s="816"/>
    </row>
    <row r="8" spans="1:31" s="404" customFormat="1" ht="14.25" customHeight="1" x14ac:dyDescent="0.2">
      <c r="B8" s="177" t="s">
        <v>293</v>
      </c>
      <c r="C8" s="471"/>
      <c r="D8" s="471"/>
      <c r="E8" s="178">
        <v>2428</v>
      </c>
      <c r="F8" s="178">
        <v>2327</v>
      </c>
      <c r="G8" s="407">
        <v>2217</v>
      </c>
      <c r="H8" s="747">
        <v>2095</v>
      </c>
      <c r="I8" s="407"/>
      <c r="J8" s="407">
        <v>1033</v>
      </c>
      <c r="K8" s="407">
        <v>884</v>
      </c>
      <c r="L8" s="407">
        <v>818</v>
      </c>
      <c r="M8" s="747">
        <f>1536-L8</f>
        <v>718</v>
      </c>
      <c r="N8" s="407"/>
      <c r="O8" s="178">
        <v>690</v>
      </c>
      <c r="P8" s="178">
        <v>482</v>
      </c>
      <c r="Q8" s="32">
        <v>420</v>
      </c>
      <c r="R8" s="747">
        <f>726-Q8</f>
        <v>306</v>
      </c>
      <c r="S8" s="407"/>
      <c r="T8" s="178">
        <v>239</v>
      </c>
      <c r="U8" s="178">
        <v>328</v>
      </c>
      <c r="V8" s="407">
        <v>214</v>
      </c>
      <c r="W8" s="747">
        <f>608-V8</f>
        <v>394</v>
      </c>
      <c r="X8" s="186"/>
      <c r="Y8" s="178">
        <v>750</v>
      </c>
      <c r="Z8" s="178">
        <v>680</v>
      </c>
      <c r="AA8" s="32">
        <v>515</v>
      </c>
      <c r="AB8" s="747">
        <f>895-AA8</f>
        <v>380</v>
      </c>
      <c r="AC8" s="411"/>
      <c r="AD8" s="816"/>
      <c r="AE8" s="816"/>
    </row>
    <row r="9" spans="1:31" ht="12.75" customHeight="1" x14ac:dyDescent="0.2">
      <c r="A9"/>
      <c r="B9" s="177" t="s">
        <v>31</v>
      </c>
      <c r="C9" s="471"/>
      <c r="D9" s="471"/>
      <c r="E9" s="178">
        <v>2592</v>
      </c>
      <c r="F9" s="178">
        <v>2558</v>
      </c>
      <c r="G9" s="407">
        <v>3225</v>
      </c>
      <c r="H9" s="746">
        <v>3202</v>
      </c>
      <c r="I9" s="412"/>
      <c r="J9" s="407">
        <v>585</v>
      </c>
      <c r="K9" s="407">
        <v>626</v>
      </c>
      <c r="L9" s="407">
        <v>702</v>
      </c>
      <c r="M9" s="746">
        <f>1418-L9</f>
        <v>716</v>
      </c>
      <c r="N9" s="407"/>
      <c r="O9" s="178">
        <v>131</v>
      </c>
      <c r="P9" s="178">
        <v>172</v>
      </c>
      <c r="Q9" s="407">
        <v>94</v>
      </c>
      <c r="R9" s="746">
        <f>187-Q9</f>
        <v>93</v>
      </c>
      <c r="S9" s="407"/>
      <c r="T9" s="178">
        <v>231</v>
      </c>
      <c r="U9" s="178">
        <v>370</v>
      </c>
      <c r="V9" s="407">
        <v>351</v>
      </c>
      <c r="W9" s="746">
        <f>932-V9</f>
        <v>581</v>
      </c>
      <c r="X9" s="32"/>
      <c r="Y9" s="178">
        <v>301</v>
      </c>
      <c r="Z9" s="178">
        <v>471</v>
      </c>
      <c r="AA9" s="407">
        <v>167</v>
      </c>
      <c r="AB9" s="746">
        <f>604-AA9</f>
        <v>437</v>
      </c>
      <c r="AD9" s="816"/>
      <c r="AE9" s="816"/>
    </row>
    <row r="10" spans="1:31" ht="12.75" customHeight="1" x14ac:dyDescent="0.2">
      <c r="A10"/>
      <c r="B10" s="177" t="s">
        <v>36</v>
      </c>
      <c r="C10" s="471"/>
      <c r="D10" s="471"/>
      <c r="E10" s="178">
        <v>1967</v>
      </c>
      <c r="F10" s="178">
        <v>1937</v>
      </c>
      <c r="G10" s="407">
        <v>1839</v>
      </c>
      <c r="H10" s="746">
        <v>1679</v>
      </c>
      <c r="I10" s="412"/>
      <c r="J10" s="407">
        <v>535</v>
      </c>
      <c r="K10" s="407">
        <v>486</v>
      </c>
      <c r="L10" s="407">
        <v>422</v>
      </c>
      <c r="M10" s="746">
        <f>787-L10</f>
        <v>365</v>
      </c>
      <c r="N10" s="407"/>
      <c r="O10" s="178">
        <v>247</v>
      </c>
      <c r="P10" s="178">
        <v>174</v>
      </c>
      <c r="Q10" s="407">
        <v>114</v>
      </c>
      <c r="R10" s="746">
        <f>181-Q10</f>
        <v>67</v>
      </c>
      <c r="S10" s="407"/>
      <c r="T10" s="178">
        <v>152</v>
      </c>
      <c r="U10" s="178">
        <v>225</v>
      </c>
      <c r="V10" s="407">
        <v>164</v>
      </c>
      <c r="W10" s="746">
        <f>511-+V10</f>
        <v>347</v>
      </c>
      <c r="X10" s="32"/>
      <c r="Y10" s="178">
        <v>187</v>
      </c>
      <c r="Z10" s="178">
        <v>316</v>
      </c>
      <c r="AA10" s="407">
        <v>112</v>
      </c>
      <c r="AB10" s="746">
        <f>207-AA10</f>
        <v>95</v>
      </c>
      <c r="AD10" s="816"/>
      <c r="AE10" s="816"/>
    </row>
    <row r="11" spans="1:31" ht="3.95" customHeight="1" x14ac:dyDescent="0.2">
      <c r="A11"/>
      <c r="B11" s="177"/>
      <c r="C11" s="471"/>
      <c r="D11" s="471"/>
      <c r="E11" s="178"/>
      <c r="F11" s="178"/>
      <c r="G11" s="407"/>
      <c r="H11" s="746"/>
      <c r="I11" s="412"/>
      <c r="J11" s="407"/>
      <c r="K11" s="407">
        <v>0</v>
      </c>
      <c r="L11" s="407"/>
      <c r="M11" s="746"/>
      <c r="N11" s="407"/>
      <c r="O11" s="178"/>
      <c r="P11" s="178">
        <v>0</v>
      </c>
      <c r="Q11" s="407"/>
      <c r="R11" s="746"/>
      <c r="S11" s="407"/>
      <c r="T11" s="178"/>
      <c r="U11" s="178"/>
      <c r="V11" s="407"/>
      <c r="W11" s="746"/>
      <c r="X11" s="32"/>
      <c r="Y11" s="178"/>
      <c r="Z11" s="178"/>
      <c r="AA11" s="407"/>
      <c r="AB11" s="746"/>
      <c r="AD11" s="816"/>
      <c r="AE11" s="816"/>
    </row>
    <row r="12" spans="1:31" ht="12.75" customHeight="1" x14ac:dyDescent="0.2">
      <c r="A12"/>
      <c r="B12" s="177" t="s">
        <v>297</v>
      </c>
      <c r="C12" s="471"/>
      <c r="D12" s="471"/>
      <c r="E12" s="178"/>
      <c r="F12" s="178"/>
      <c r="G12" s="407"/>
      <c r="H12" s="746"/>
      <c r="I12" s="412"/>
      <c r="J12" s="407"/>
      <c r="K12" s="407"/>
      <c r="L12" s="407"/>
      <c r="M12" s="746"/>
      <c r="N12" s="407"/>
      <c r="O12" s="178"/>
      <c r="P12" s="178"/>
      <c r="Q12" s="407"/>
      <c r="R12" s="746"/>
      <c r="S12" s="407"/>
      <c r="T12" s="178"/>
      <c r="U12" s="178"/>
      <c r="V12" s="407"/>
      <c r="W12" s="746"/>
      <c r="X12" s="407"/>
      <c r="Y12" s="178"/>
      <c r="Z12" s="178"/>
      <c r="AA12" s="407"/>
      <c r="AB12" s="746"/>
      <c r="AD12" s="816"/>
      <c r="AE12" s="816"/>
    </row>
    <row r="13" spans="1:31" ht="14.25" customHeight="1" x14ac:dyDescent="0.2">
      <c r="A13"/>
      <c r="B13" s="177" t="s">
        <v>278</v>
      </c>
      <c r="C13" s="471"/>
      <c r="D13" s="471"/>
      <c r="E13" s="178">
        <v>307</v>
      </c>
      <c r="F13" s="178">
        <v>966</v>
      </c>
      <c r="G13" s="407">
        <v>0</v>
      </c>
      <c r="H13" s="746">
        <v>0</v>
      </c>
      <c r="I13" s="412"/>
      <c r="J13" s="407">
        <v>38</v>
      </c>
      <c r="K13" s="407">
        <v>124</v>
      </c>
      <c r="L13" s="407">
        <v>0</v>
      </c>
      <c r="M13" s="746">
        <v>0</v>
      </c>
      <c r="N13" s="407"/>
      <c r="O13" s="178">
        <v>-16</v>
      </c>
      <c r="P13" s="178">
        <v>-45</v>
      </c>
      <c r="Q13" s="407">
        <v>0</v>
      </c>
      <c r="R13" s="746">
        <v>0</v>
      </c>
      <c r="S13" s="407"/>
      <c r="T13" s="178">
        <v>41</v>
      </c>
      <c r="U13" s="178">
        <v>211</v>
      </c>
      <c r="V13" s="407">
        <v>0</v>
      </c>
      <c r="W13" s="746">
        <v>0</v>
      </c>
      <c r="X13" s="32"/>
      <c r="Y13" s="178">
        <v>3</v>
      </c>
      <c r="Z13" s="178">
        <v>-66</v>
      </c>
      <c r="AA13" s="407">
        <v>0</v>
      </c>
      <c r="AB13" s="746">
        <v>0</v>
      </c>
      <c r="AD13" s="816"/>
      <c r="AE13" s="816"/>
    </row>
    <row r="14" spans="1:31" ht="12.75" customHeight="1" x14ac:dyDescent="0.2">
      <c r="A14"/>
      <c r="B14" s="177" t="s">
        <v>126</v>
      </c>
      <c r="C14" s="471"/>
      <c r="D14" s="471"/>
      <c r="E14" s="178">
        <v>812</v>
      </c>
      <c r="F14" s="178">
        <v>827</v>
      </c>
      <c r="G14" s="407">
        <v>831</v>
      </c>
      <c r="H14" s="746">
        <f>1608-G14</f>
        <v>777</v>
      </c>
      <c r="I14" s="412"/>
      <c r="J14" s="407">
        <v>276</v>
      </c>
      <c r="K14" s="407">
        <v>321</v>
      </c>
      <c r="L14" s="407">
        <v>287</v>
      </c>
      <c r="M14" s="746">
        <f>548-L14</f>
        <v>261</v>
      </c>
      <c r="N14" s="407"/>
      <c r="O14" s="178">
        <v>140</v>
      </c>
      <c r="P14" s="178">
        <v>189</v>
      </c>
      <c r="Q14" s="407">
        <v>121</v>
      </c>
      <c r="R14" s="746">
        <f>220-Q14</f>
        <v>99</v>
      </c>
      <c r="S14" s="407"/>
      <c r="T14" s="178">
        <v>96</v>
      </c>
      <c r="U14" s="178">
        <v>129</v>
      </c>
      <c r="V14" s="407">
        <v>87</v>
      </c>
      <c r="W14" s="746">
        <v>143</v>
      </c>
      <c r="X14" s="32"/>
      <c r="Y14" s="178">
        <v>145</v>
      </c>
      <c r="Z14" s="178">
        <v>231</v>
      </c>
      <c r="AA14" s="407">
        <v>142</v>
      </c>
      <c r="AB14" s="746">
        <v>188</v>
      </c>
      <c r="AD14" s="816"/>
      <c r="AE14" s="816"/>
    </row>
    <row r="15" spans="1:31" ht="12.75" customHeight="1" x14ac:dyDescent="0.2">
      <c r="A15"/>
      <c r="B15" s="177" t="s">
        <v>131</v>
      </c>
      <c r="C15" s="471"/>
      <c r="D15" s="471"/>
      <c r="E15" s="178">
        <v>479</v>
      </c>
      <c r="F15" s="178">
        <v>462</v>
      </c>
      <c r="G15" s="407">
        <v>460</v>
      </c>
      <c r="H15" s="746">
        <f>889-G15</f>
        <v>429</v>
      </c>
      <c r="I15" s="412"/>
      <c r="J15" s="407">
        <v>191</v>
      </c>
      <c r="K15" s="407">
        <v>183</v>
      </c>
      <c r="L15" s="407">
        <v>176</v>
      </c>
      <c r="M15" s="746">
        <f>309-L15</f>
        <v>133</v>
      </c>
      <c r="N15" s="407"/>
      <c r="O15" s="178">
        <v>106</v>
      </c>
      <c r="P15" s="178">
        <v>92</v>
      </c>
      <c r="Q15" s="407">
        <v>90</v>
      </c>
      <c r="R15" s="746">
        <f>140-Q15</f>
        <v>50</v>
      </c>
      <c r="S15" s="407"/>
      <c r="T15" s="178">
        <v>45</v>
      </c>
      <c r="U15" s="178">
        <v>84</v>
      </c>
      <c r="V15" s="407">
        <v>54</v>
      </c>
      <c r="W15" s="746">
        <v>103</v>
      </c>
      <c r="X15" s="32"/>
      <c r="Y15" s="178">
        <v>124</v>
      </c>
      <c r="Z15" s="178">
        <v>132</v>
      </c>
      <c r="AA15" s="407">
        <v>99</v>
      </c>
      <c r="AB15" s="746">
        <v>61</v>
      </c>
      <c r="AD15" s="816"/>
      <c r="AE15" s="816"/>
    </row>
    <row r="16" spans="1:31" ht="12.75" customHeight="1" x14ac:dyDescent="0.2">
      <c r="A16"/>
      <c r="B16" s="177" t="s">
        <v>128</v>
      </c>
      <c r="C16" s="471"/>
      <c r="D16" s="471"/>
      <c r="E16" s="178">
        <v>311</v>
      </c>
      <c r="F16" s="178">
        <v>316</v>
      </c>
      <c r="G16" s="407">
        <v>318</v>
      </c>
      <c r="H16" s="746">
        <v>314</v>
      </c>
      <c r="I16" s="412"/>
      <c r="J16" s="407">
        <v>119</v>
      </c>
      <c r="K16" s="407">
        <v>106</v>
      </c>
      <c r="L16" s="407">
        <v>114</v>
      </c>
      <c r="M16" s="746">
        <f>210-L16</f>
        <v>96</v>
      </c>
      <c r="N16" s="407"/>
      <c r="O16" s="178">
        <v>64</v>
      </c>
      <c r="P16" s="178">
        <v>43</v>
      </c>
      <c r="Q16" s="407">
        <v>54</v>
      </c>
      <c r="R16" s="746">
        <f>94-Q16</f>
        <v>40</v>
      </c>
      <c r="S16" s="407"/>
      <c r="T16" s="178">
        <v>34</v>
      </c>
      <c r="U16" s="178">
        <v>45</v>
      </c>
      <c r="V16" s="407">
        <v>36</v>
      </c>
      <c r="W16" s="746">
        <v>46</v>
      </c>
      <c r="X16" s="32"/>
      <c r="Y16" s="178">
        <v>71</v>
      </c>
      <c r="Z16" s="178">
        <v>76</v>
      </c>
      <c r="AA16" s="407">
        <v>68</v>
      </c>
      <c r="AB16" s="746">
        <v>61</v>
      </c>
      <c r="AD16" s="816"/>
      <c r="AE16" s="816"/>
    </row>
    <row r="17" spans="2:31" customFormat="1" ht="12.75" customHeight="1" x14ac:dyDescent="0.2">
      <c r="B17" s="177" t="s">
        <v>130</v>
      </c>
      <c r="C17" s="471"/>
      <c r="D17" s="471"/>
      <c r="E17" s="178">
        <v>411</v>
      </c>
      <c r="F17" s="178">
        <v>331</v>
      </c>
      <c r="G17" s="407">
        <v>313</v>
      </c>
      <c r="H17" s="746">
        <f>597-G17</f>
        <v>284</v>
      </c>
      <c r="I17" s="412"/>
      <c r="J17" s="407">
        <v>101</v>
      </c>
      <c r="K17" s="407">
        <v>100</v>
      </c>
      <c r="L17" s="407">
        <v>84</v>
      </c>
      <c r="M17" s="746">
        <f>165-L17</f>
        <v>81</v>
      </c>
      <c r="N17" s="407"/>
      <c r="O17" s="178">
        <v>39</v>
      </c>
      <c r="P17" s="178">
        <v>39</v>
      </c>
      <c r="Q17" s="407">
        <v>27</v>
      </c>
      <c r="R17" s="746">
        <f>54-Q17</f>
        <v>27</v>
      </c>
      <c r="S17" s="407"/>
      <c r="T17" s="178">
        <v>28</v>
      </c>
      <c r="U17" s="178">
        <v>38</v>
      </c>
      <c r="V17" s="407">
        <v>29</v>
      </c>
      <c r="W17" s="746">
        <v>41</v>
      </c>
      <c r="X17" s="32"/>
      <c r="Y17" s="178">
        <v>47</v>
      </c>
      <c r="Z17" s="178">
        <v>3</v>
      </c>
      <c r="AA17" s="407">
        <v>38</v>
      </c>
      <c r="AB17" s="746">
        <v>75</v>
      </c>
      <c r="AC17" s="413"/>
      <c r="AD17" s="816"/>
      <c r="AE17" s="816"/>
    </row>
    <row r="18" spans="2:31" customFormat="1" ht="14.25" customHeight="1" x14ac:dyDescent="0.2">
      <c r="B18" s="177" t="s">
        <v>282</v>
      </c>
      <c r="C18" s="471"/>
      <c r="D18" s="471"/>
      <c r="E18" s="179">
        <v>945</v>
      </c>
      <c r="F18" s="179">
        <v>949</v>
      </c>
      <c r="G18" s="408">
        <v>922</v>
      </c>
      <c r="H18" s="748">
        <f>+H19-H17-H16-H15-H14-H13</f>
        <v>877</v>
      </c>
      <c r="I18" s="412"/>
      <c r="J18" s="408">
        <v>280</v>
      </c>
      <c r="K18" s="408">
        <v>280</v>
      </c>
      <c r="L18" s="408">
        <v>267</v>
      </c>
      <c r="M18" s="748">
        <f>+M19-M17-M16-M15-M14-M13</f>
        <v>237</v>
      </c>
      <c r="N18" s="407"/>
      <c r="O18" s="180">
        <v>114</v>
      </c>
      <c r="P18" s="180">
        <v>113</v>
      </c>
      <c r="Q18" s="408">
        <f>+Q19-Q17-Q16-Q15-Q14-Q13</f>
        <v>99</v>
      </c>
      <c r="R18" s="748">
        <f>+R19-R17-R16-R15-R14-R13</f>
        <v>69</v>
      </c>
      <c r="S18" s="407"/>
      <c r="T18" s="179">
        <v>86</v>
      </c>
      <c r="U18" s="179">
        <v>156</v>
      </c>
      <c r="V18" s="408">
        <v>97</v>
      </c>
      <c r="W18" s="748">
        <f>+W19-W17-W16-W15-W14-W13</f>
        <v>163</v>
      </c>
      <c r="X18" s="407"/>
      <c r="Y18" s="179">
        <v>143</v>
      </c>
      <c r="Z18" s="179">
        <v>207</v>
      </c>
      <c r="AA18" s="408">
        <v>54</v>
      </c>
      <c r="AB18" s="748">
        <f>+AB19-AB17-AB16-AB15-AB14-AB13</f>
        <v>172</v>
      </c>
      <c r="AC18" s="413"/>
      <c r="AD18" s="816"/>
      <c r="AE18" s="816"/>
    </row>
    <row r="19" spans="2:31" s="181" customFormat="1" ht="12.75" customHeight="1" x14ac:dyDescent="0.2">
      <c r="B19" s="417" t="s">
        <v>22</v>
      </c>
      <c r="C19" s="21"/>
      <c r="D19" s="21"/>
      <c r="E19" s="409">
        <v>3265</v>
      </c>
      <c r="F19" s="409">
        <v>3851</v>
      </c>
      <c r="G19" s="409">
        <v>2844</v>
      </c>
      <c r="H19" s="749">
        <f>5525-G19</f>
        <v>2681</v>
      </c>
      <c r="I19" s="185"/>
      <c r="J19" s="409">
        <v>1005</v>
      </c>
      <c r="K19" s="409">
        <v>1114</v>
      </c>
      <c r="L19" s="409">
        <v>928</v>
      </c>
      <c r="M19" s="749">
        <f>1736-L19</f>
        <v>808</v>
      </c>
      <c r="N19" s="409"/>
      <c r="O19" s="409">
        <v>447</v>
      </c>
      <c r="P19" s="409">
        <v>431</v>
      </c>
      <c r="Q19" s="409">
        <v>391</v>
      </c>
      <c r="R19" s="749">
        <f>676-Q19</f>
        <v>285</v>
      </c>
      <c r="S19" s="409"/>
      <c r="T19" s="409">
        <v>330</v>
      </c>
      <c r="U19" s="409">
        <v>663</v>
      </c>
      <c r="V19" s="409">
        <v>303</v>
      </c>
      <c r="W19" s="749">
        <f>799-V19</f>
        <v>496</v>
      </c>
      <c r="X19" s="409"/>
      <c r="Y19" s="409">
        <v>533</v>
      </c>
      <c r="Z19" s="409">
        <v>583</v>
      </c>
      <c r="AA19" s="409">
        <v>401</v>
      </c>
      <c r="AB19" s="749">
        <f>958-AA19</f>
        <v>557</v>
      </c>
      <c r="AC19" s="415"/>
      <c r="AD19" s="816"/>
      <c r="AE19" s="816"/>
    </row>
    <row r="20" spans="2:31" customFormat="1" ht="3.95" customHeight="1" x14ac:dyDescent="0.2">
      <c r="B20" s="177"/>
      <c r="C20" s="471"/>
      <c r="D20" s="471"/>
      <c r="E20" s="178"/>
      <c r="F20" s="178"/>
      <c r="G20" s="407"/>
      <c r="H20" s="746"/>
      <c r="I20" s="412"/>
      <c r="J20" s="407"/>
      <c r="K20" s="407"/>
      <c r="L20" s="407"/>
      <c r="M20" s="746"/>
      <c r="N20" s="407"/>
      <c r="O20" s="407"/>
      <c r="P20" s="407"/>
      <c r="Q20" s="407"/>
      <c r="R20" s="746"/>
      <c r="S20" s="407"/>
      <c r="T20" s="178"/>
      <c r="U20" s="178"/>
      <c r="V20" s="407"/>
      <c r="W20" s="746"/>
      <c r="X20" s="407"/>
      <c r="Y20" s="178"/>
      <c r="Z20" s="178"/>
      <c r="AA20" s="407"/>
      <c r="AB20" s="746"/>
      <c r="AC20" s="413"/>
      <c r="AD20" s="816"/>
      <c r="AE20" s="816"/>
    </row>
    <row r="21" spans="2:31" customFormat="1" ht="12.75" customHeight="1" x14ac:dyDescent="0.2">
      <c r="B21" s="177" t="s">
        <v>129</v>
      </c>
      <c r="C21" s="471"/>
      <c r="D21" s="471"/>
      <c r="E21" s="179">
        <v>-91</v>
      </c>
      <c r="F21" s="179">
        <v>-88</v>
      </c>
      <c r="G21" s="408">
        <v>-37</v>
      </c>
      <c r="H21" s="748">
        <f>+H22-H19-H10-H9-H8-H7</f>
        <v>-20</v>
      </c>
      <c r="I21" s="412"/>
      <c r="J21" s="408">
        <v>0</v>
      </c>
      <c r="K21" s="408">
        <v>0</v>
      </c>
      <c r="L21" s="408">
        <v>0</v>
      </c>
      <c r="M21" s="748">
        <f>+M22-M19-M10-M9-M8-M7</f>
        <v>0</v>
      </c>
      <c r="N21" s="407"/>
      <c r="O21" s="408">
        <v>0</v>
      </c>
      <c r="P21" s="408">
        <v>0</v>
      </c>
      <c r="Q21" s="408">
        <f>+Q22-Q19-Q10-Q9-Q8-Q7</f>
        <v>0</v>
      </c>
      <c r="R21" s="748">
        <f>+R22-R19-R10-R9-R8-R7</f>
        <v>0</v>
      </c>
      <c r="S21" s="407"/>
      <c r="T21" s="179">
        <v>0</v>
      </c>
      <c r="U21" s="179">
        <v>0</v>
      </c>
      <c r="V21" s="408">
        <v>0</v>
      </c>
      <c r="W21" s="748">
        <f>+W22-W19-W10-W9-W8-W7</f>
        <v>0</v>
      </c>
      <c r="X21" s="407"/>
      <c r="Y21" s="179">
        <v>0</v>
      </c>
      <c r="Z21" s="179">
        <v>0</v>
      </c>
      <c r="AA21" s="408">
        <v>0</v>
      </c>
      <c r="AB21" s="748">
        <f>+AB22-AB19-AB10-AB9-AB8-AB7</f>
        <v>0</v>
      </c>
      <c r="AC21" s="413"/>
      <c r="AD21" s="816"/>
      <c r="AE21" s="816"/>
    </row>
    <row r="22" spans="2:31" s="181" customFormat="1" ht="12.75" customHeight="1" x14ac:dyDescent="0.2">
      <c r="B22" s="175" t="s">
        <v>22</v>
      </c>
      <c r="C22" s="21"/>
      <c r="D22" s="21"/>
      <c r="E22" s="409">
        <v>14052</v>
      </c>
      <c r="F22" s="409">
        <v>14551</v>
      </c>
      <c r="G22" s="409">
        <v>13988</v>
      </c>
      <c r="H22" s="749">
        <f>27997-G22</f>
        <v>14009</v>
      </c>
      <c r="I22" s="185"/>
      <c r="J22" s="409">
        <v>4581</v>
      </c>
      <c r="K22" s="409">
        <v>4518</v>
      </c>
      <c r="L22" s="409">
        <v>4198</v>
      </c>
      <c r="M22" s="749">
        <f>8175-L22</f>
        <v>3977</v>
      </c>
      <c r="N22" s="409"/>
      <c r="O22" s="409">
        <v>2268</v>
      </c>
      <c r="P22" s="409">
        <v>1907</v>
      </c>
      <c r="Q22" s="409">
        <v>1608</v>
      </c>
      <c r="R22" s="749">
        <f>2688-Q22</f>
        <v>1080</v>
      </c>
      <c r="S22" s="409"/>
      <c r="T22" s="409">
        <v>1397</v>
      </c>
      <c r="U22" s="409">
        <v>2214</v>
      </c>
      <c r="V22" s="409">
        <v>1597</v>
      </c>
      <c r="W22" s="749">
        <f>4162-V22</f>
        <v>2565</v>
      </c>
      <c r="X22" s="409"/>
      <c r="Y22" s="409">
        <v>2491</v>
      </c>
      <c r="Z22" s="409">
        <v>3047</v>
      </c>
      <c r="AA22" s="409">
        <v>1892</v>
      </c>
      <c r="AB22" s="749">
        <v>2389</v>
      </c>
      <c r="AC22" s="415"/>
      <c r="AD22" s="816"/>
      <c r="AE22" s="816"/>
    </row>
    <row r="23" spans="2:31" customFormat="1" ht="3.95" customHeight="1" x14ac:dyDescent="0.2">
      <c r="B23" s="177"/>
      <c r="C23" s="471"/>
      <c r="D23" s="471"/>
      <c r="E23" s="178"/>
      <c r="F23" s="178"/>
      <c r="G23" s="407"/>
      <c r="H23" s="746"/>
      <c r="I23" s="407"/>
      <c r="J23" s="407"/>
      <c r="K23" s="407"/>
      <c r="L23" s="407"/>
      <c r="M23" s="746" t="s">
        <v>454</v>
      </c>
      <c r="N23" s="407"/>
      <c r="O23" s="178"/>
      <c r="P23" s="178"/>
      <c r="Q23" s="407"/>
      <c r="R23" s="746"/>
      <c r="S23" s="407"/>
      <c r="T23" s="178"/>
      <c r="U23" s="178"/>
      <c r="V23" s="407"/>
      <c r="W23" s="746"/>
      <c r="X23" s="183"/>
      <c r="Y23" s="178"/>
      <c r="Z23" s="178"/>
      <c r="AA23" s="407"/>
      <c r="AB23" s="746"/>
      <c r="AC23" s="413"/>
      <c r="AD23" s="816"/>
      <c r="AE23" s="816"/>
    </row>
    <row r="24" spans="2:31" customFormat="1" ht="4.5" customHeight="1" x14ac:dyDescent="0.2">
      <c r="B24" s="177"/>
      <c r="C24" s="471"/>
      <c r="D24" s="471"/>
      <c r="E24" s="178"/>
      <c r="F24" s="178"/>
      <c r="G24" s="407"/>
      <c r="H24" s="746"/>
      <c r="I24" s="407"/>
      <c r="J24" s="407"/>
      <c r="K24" s="407"/>
      <c r="L24" s="407"/>
      <c r="M24" s="746"/>
      <c r="N24" s="407"/>
      <c r="O24" s="178"/>
      <c r="P24" s="178"/>
      <c r="Q24" s="407"/>
      <c r="R24" s="746"/>
      <c r="S24" s="407"/>
      <c r="T24" s="178"/>
      <c r="U24" s="178"/>
      <c r="V24" s="407"/>
      <c r="W24" s="746"/>
      <c r="X24" s="183"/>
      <c r="Y24" s="178"/>
      <c r="Z24" s="178"/>
      <c r="AA24" s="407"/>
      <c r="AB24" s="746"/>
      <c r="AC24" s="413"/>
      <c r="AD24" s="816"/>
      <c r="AE24" s="816"/>
    </row>
    <row r="25" spans="2:31" customFormat="1" ht="18" customHeight="1" x14ac:dyDescent="0.2">
      <c r="B25" s="175" t="s">
        <v>277</v>
      </c>
      <c r="C25" s="471"/>
      <c r="D25" s="471"/>
      <c r="E25" s="178"/>
      <c r="F25" s="178"/>
      <c r="G25" s="407"/>
      <c r="H25" s="746"/>
      <c r="I25" s="407"/>
      <c r="J25" s="407"/>
      <c r="K25" s="407"/>
      <c r="L25" s="407"/>
      <c r="M25" s="746"/>
      <c r="N25" s="407"/>
      <c r="O25" s="178"/>
      <c r="P25" s="178"/>
      <c r="Q25" s="407"/>
      <c r="R25" s="746"/>
      <c r="S25" s="407"/>
      <c r="T25" s="178"/>
      <c r="U25" s="178"/>
      <c r="V25" s="407"/>
      <c r="W25" s="746"/>
      <c r="X25" s="183"/>
      <c r="Y25" s="178"/>
      <c r="Z25" s="178"/>
      <c r="AA25" s="407"/>
      <c r="AB25" s="746"/>
      <c r="AC25" s="413"/>
      <c r="AD25" s="816"/>
      <c r="AE25" s="816"/>
    </row>
    <row r="26" spans="2:31" customFormat="1" ht="3.95" customHeight="1" x14ac:dyDescent="0.2">
      <c r="B26" s="177"/>
      <c r="C26" s="471"/>
      <c r="D26" s="471"/>
      <c r="E26" s="178"/>
      <c r="F26" s="178"/>
      <c r="G26" s="407"/>
      <c r="H26" s="746"/>
      <c r="I26" s="407"/>
      <c r="J26" s="407"/>
      <c r="K26" s="407"/>
      <c r="L26" s="407"/>
      <c r="M26" s="746"/>
      <c r="N26" s="407"/>
      <c r="O26" s="178"/>
      <c r="P26" s="178"/>
      <c r="Q26" s="407"/>
      <c r="R26" s="746"/>
      <c r="S26" s="407"/>
      <c r="T26" s="178"/>
      <c r="U26" s="178"/>
      <c r="V26" s="407"/>
      <c r="W26" s="746"/>
      <c r="X26" s="183"/>
      <c r="Y26" s="178"/>
      <c r="Z26" s="178"/>
      <c r="AA26" s="407"/>
      <c r="AB26" s="746"/>
      <c r="AC26" s="413"/>
      <c r="AD26" s="816"/>
      <c r="AE26" s="816"/>
    </row>
    <row r="27" spans="2:31" customFormat="1" ht="12.75" customHeight="1" x14ac:dyDescent="0.2">
      <c r="B27" s="177" t="s">
        <v>132</v>
      </c>
      <c r="C27" s="471"/>
      <c r="D27" s="471"/>
      <c r="E27" s="178">
        <v>2038</v>
      </c>
      <c r="F27" s="178">
        <v>2286</v>
      </c>
      <c r="G27" s="407">
        <v>2257</v>
      </c>
      <c r="H27" s="746">
        <v>2137</v>
      </c>
      <c r="I27" s="407"/>
      <c r="J27" s="407">
        <v>577</v>
      </c>
      <c r="K27" s="407">
        <v>663</v>
      </c>
      <c r="L27" s="407">
        <v>718</v>
      </c>
      <c r="M27" s="746">
        <f>1397-L27</f>
        <v>679</v>
      </c>
      <c r="N27" s="407"/>
      <c r="O27" s="178">
        <v>84</v>
      </c>
      <c r="P27" s="178">
        <v>137</v>
      </c>
      <c r="Q27" s="407">
        <v>151</v>
      </c>
      <c r="R27" s="746">
        <f>354-Q27</f>
        <v>203</v>
      </c>
      <c r="S27" s="407"/>
      <c r="T27" s="178">
        <v>198</v>
      </c>
      <c r="U27" s="178">
        <v>356</v>
      </c>
      <c r="V27" s="407">
        <v>208</v>
      </c>
      <c r="W27" s="746">
        <f>715-V27</f>
        <v>507</v>
      </c>
      <c r="X27" s="183"/>
      <c r="Y27" s="178">
        <v>393</v>
      </c>
      <c r="Z27" s="178">
        <v>336</v>
      </c>
      <c r="AA27" s="407">
        <v>525</v>
      </c>
      <c r="AB27" s="746">
        <f>889-AA27</f>
        <v>364</v>
      </c>
      <c r="AC27" s="413"/>
      <c r="AD27" s="816"/>
      <c r="AE27" s="816"/>
    </row>
    <row r="28" spans="2:31" customFormat="1" ht="14.25" customHeight="1" x14ac:dyDescent="0.2">
      <c r="B28" s="177" t="s">
        <v>283</v>
      </c>
      <c r="C28" s="471"/>
      <c r="D28" s="471"/>
      <c r="E28" s="178">
        <v>2657</v>
      </c>
      <c r="F28" s="178">
        <v>2549</v>
      </c>
      <c r="G28" s="407">
        <v>2442</v>
      </c>
      <c r="H28" s="746">
        <v>2276</v>
      </c>
      <c r="I28" s="407"/>
      <c r="J28" s="407">
        <v>939</v>
      </c>
      <c r="K28" s="407">
        <v>952</v>
      </c>
      <c r="L28" s="407">
        <v>888</v>
      </c>
      <c r="M28" s="746">
        <f>1716-L28</f>
        <v>828</v>
      </c>
      <c r="N28" s="407"/>
      <c r="O28" s="178">
        <v>655</v>
      </c>
      <c r="P28" s="178">
        <v>677</v>
      </c>
      <c r="Q28" s="407">
        <v>634</v>
      </c>
      <c r="R28" s="746">
        <f>1228-Q28</f>
        <v>594</v>
      </c>
      <c r="S28" s="407"/>
      <c r="T28" s="178">
        <v>362</v>
      </c>
      <c r="U28" s="178">
        <v>341</v>
      </c>
      <c r="V28" s="407">
        <v>320</v>
      </c>
      <c r="W28" s="746">
        <f>663-V28</f>
        <v>343</v>
      </c>
      <c r="X28" s="183"/>
      <c r="Y28" s="178">
        <v>487</v>
      </c>
      <c r="Z28" s="178">
        <v>869</v>
      </c>
      <c r="AA28" s="407">
        <v>410</v>
      </c>
      <c r="AB28" s="746">
        <f>1171-AA28</f>
        <v>761</v>
      </c>
      <c r="AC28" s="413"/>
      <c r="AD28" s="816"/>
      <c r="AE28" s="816"/>
    </row>
    <row r="29" spans="2:31" customFormat="1" ht="3.75" customHeight="1" x14ac:dyDescent="0.2">
      <c r="B29" s="177"/>
      <c r="C29" s="471"/>
      <c r="D29" s="471"/>
      <c r="E29" s="178"/>
      <c r="F29" s="178"/>
      <c r="G29" s="407"/>
      <c r="H29" s="746"/>
      <c r="I29" s="407"/>
      <c r="J29" s="407"/>
      <c r="K29" s="407">
        <v>0</v>
      </c>
      <c r="L29" s="407"/>
      <c r="M29" s="746"/>
      <c r="N29" s="407"/>
      <c r="O29" s="178"/>
      <c r="P29" s="178"/>
      <c r="Q29" s="407"/>
      <c r="R29" s="746"/>
      <c r="S29" s="407"/>
      <c r="T29" s="178"/>
      <c r="U29" s="178"/>
      <c r="V29" s="407"/>
      <c r="W29" s="746"/>
      <c r="X29" s="183"/>
      <c r="Y29" s="178"/>
      <c r="Z29" s="178"/>
      <c r="AA29" s="407"/>
      <c r="AB29" s="746"/>
      <c r="AC29" s="413"/>
      <c r="AD29" s="816"/>
      <c r="AE29" s="816"/>
    </row>
    <row r="30" spans="2:31" customFormat="1" ht="12.75" customHeight="1" x14ac:dyDescent="0.2">
      <c r="B30" s="177" t="s">
        <v>133</v>
      </c>
      <c r="C30" s="471"/>
      <c r="D30" s="471"/>
      <c r="E30" s="178"/>
      <c r="F30" s="178"/>
      <c r="G30" s="407"/>
      <c r="H30" s="746"/>
      <c r="I30" s="407"/>
      <c r="J30" s="407"/>
      <c r="K30" s="407"/>
      <c r="L30" s="407"/>
      <c r="M30" s="746"/>
      <c r="N30" s="407"/>
      <c r="O30" s="178"/>
      <c r="P30" s="178"/>
      <c r="Q30" s="407"/>
      <c r="R30" s="746"/>
      <c r="S30" s="407"/>
      <c r="T30" s="178"/>
      <c r="U30" s="178"/>
      <c r="V30" s="407"/>
      <c r="W30" s="746"/>
      <c r="X30" s="183"/>
      <c r="Y30" s="178"/>
      <c r="Z30" s="178"/>
      <c r="AA30" s="407"/>
      <c r="AB30" s="746"/>
      <c r="AC30" s="413"/>
      <c r="AD30" s="816"/>
      <c r="AE30" s="816"/>
    </row>
    <row r="31" spans="2:31" customFormat="1" ht="12.75" customHeight="1" x14ac:dyDescent="0.2">
      <c r="B31" s="177" t="s">
        <v>127</v>
      </c>
      <c r="C31" s="471"/>
      <c r="D31" s="471"/>
      <c r="E31" s="178">
        <v>941</v>
      </c>
      <c r="F31" s="178">
        <v>1007</v>
      </c>
      <c r="G31" s="407">
        <v>1064</v>
      </c>
      <c r="H31" s="746">
        <v>953</v>
      </c>
      <c r="I31" s="412"/>
      <c r="J31" s="407">
        <v>159</v>
      </c>
      <c r="K31" s="407">
        <v>163</v>
      </c>
      <c r="L31" s="407">
        <v>186</v>
      </c>
      <c r="M31" s="746">
        <f>358-L31</f>
        <v>172</v>
      </c>
      <c r="N31" s="407"/>
      <c r="O31" s="178">
        <v>12</v>
      </c>
      <c r="P31" s="178">
        <v>3</v>
      </c>
      <c r="Q31" s="407">
        <v>31</v>
      </c>
      <c r="R31" s="746">
        <f>61-Q31</f>
        <v>30</v>
      </c>
      <c r="S31" s="407"/>
      <c r="T31" s="178">
        <v>87</v>
      </c>
      <c r="U31" s="178">
        <v>160</v>
      </c>
      <c r="V31" s="407">
        <v>90</v>
      </c>
      <c r="W31" s="746">
        <v>162</v>
      </c>
      <c r="X31" s="32"/>
      <c r="Y31" s="178">
        <v>-81</v>
      </c>
      <c r="Z31" s="178">
        <v>164</v>
      </c>
      <c r="AA31" s="407">
        <v>-91</v>
      </c>
      <c r="AB31" s="746">
        <f>84-AA31</f>
        <v>175</v>
      </c>
      <c r="AC31" s="413"/>
      <c r="AD31" s="816"/>
      <c r="AE31" s="816"/>
    </row>
    <row r="32" spans="2:31" customFormat="1" ht="12.75" customHeight="1" x14ac:dyDescent="0.2">
      <c r="B32" s="177" t="s">
        <v>134</v>
      </c>
      <c r="C32" s="471"/>
      <c r="D32" s="471"/>
      <c r="E32" s="178">
        <v>645</v>
      </c>
      <c r="F32" s="178">
        <v>614</v>
      </c>
      <c r="G32" s="407">
        <v>602</v>
      </c>
      <c r="H32" s="746">
        <f>1163-G32</f>
        <v>561</v>
      </c>
      <c r="I32" s="407"/>
      <c r="J32" s="407">
        <v>287</v>
      </c>
      <c r="K32" s="407">
        <v>282</v>
      </c>
      <c r="L32" s="407">
        <v>264</v>
      </c>
      <c r="M32" s="746">
        <f>517-L32</f>
        <v>253</v>
      </c>
      <c r="N32" s="407"/>
      <c r="O32" s="178">
        <v>160</v>
      </c>
      <c r="P32" s="178">
        <v>154</v>
      </c>
      <c r="Q32" s="407">
        <v>142</v>
      </c>
      <c r="R32" s="746">
        <f>271-Q32</f>
        <v>129</v>
      </c>
      <c r="S32" s="407"/>
      <c r="T32" s="178">
        <v>73</v>
      </c>
      <c r="U32" s="178">
        <v>137</v>
      </c>
      <c r="V32" s="407">
        <v>78</v>
      </c>
      <c r="W32" s="746">
        <v>140</v>
      </c>
      <c r="X32" s="183"/>
      <c r="Y32" s="178">
        <v>200</v>
      </c>
      <c r="Z32" s="178">
        <v>156</v>
      </c>
      <c r="AA32" s="407">
        <v>190</v>
      </c>
      <c r="AB32" s="746">
        <f>342-AA32</f>
        <v>152</v>
      </c>
      <c r="AC32" s="413"/>
      <c r="AD32" s="816"/>
      <c r="AE32" s="816"/>
    </row>
    <row r="33" spans="1:31" ht="14.25" customHeight="1" x14ac:dyDescent="0.2">
      <c r="B33" s="177" t="s">
        <v>282</v>
      </c>
      <c r="C33" s="471"/>
      <c r="D33" s="471"/>
      <c r="E33" s="179">
        <v>1250</v>
      </c>
      <c r="F33" s="179">
        <v>1427</v>
      </c>
      <c r="G33" s="408">
        <v>1371</v>
      </c>
      <c r="H33" s="748">
        <f>+H34-H32-H31</f>
        <v>1309</v>
      </c>
      <c r="I33" s="407"/>
      <c r="J33" s="408">
        <v>193</v>
      </c>
      <c r="K33" s="408">
        <v>317</v>
      </c>
      <c r="L33" s="408">
        <v>364</v>
      </c>
      <c r="M33" s="748">
        <f>+M34-M32-M31</f>
        <v>328</v>
      </c>
      <c r="N33" s="407"/>
      <c r="O33" s="408">
        <v>-25</v>
      </c>
      <c r="P33" s="408">
        <v>36</v>
      </c>
      <c r="Q33" s="408">
        <f t="shared" ref="Q33" si="0">+Q34-Q32-Q31</f>
        <v>103</v>
      </c>
      <c r="R33" s="748">
        <f t="shared" ref="R33" si="1">+R34-R32-R31</f>
        <v>75</v>
      </c>
      <c r="S33" s="407"/>
      <c r="T33" s="179">
        <v>249</v>
      </c>
      <c r="U33" s="179">
        <v>261</v>
      </c>
      <c r="V33" s="408">
        <v>235</v>
      </c>
      <c r="W33" s="748">
        <f>+W34-W32-W31</f>
        <v>264</v>
      </c>
      <c r="X33" s="183"/>
      <c r="Y33" s="179">
        <v>-4</v>
      </c>
      <c r="Z33" s="179">
        <v>92</v>
      </c>
      <c r="AA33" s="408">
        <v>72</v>
      </c>
      <c r="AB33" s="748">
        <f>+AB34-AB32-AB31</f>
        <v>71</v>
      </c>
      <c r="AD33" s="816"/>
      <c r="AE33" s="816"/>
    </row>
    <row r="34" spans="1:31" s="181" customFormat="1" ht="12.75" customHeight="1" x14ac:dyDescent="0.2">
      <c r="B34" s="417" t="s">
        <v>22</v>
      </c>
      <c r="C34" s="417"/>
      <c r="D34" s="21"/>
      <c r="E34" s="409">
        <v>2836</v>
      </c>
      <c r="F34" s="409">
        <v>3048</v>
      </c>
      <c r="G34" s="409">
        <v>3037</v>
      </c>
      <c r="H34" s="749">
        <f>5860-G34</f>
        <v>2823</v>
      </c>
      <c r="I34" s="409"/>
      <c r="J34" s="409">
        <v>639</v>
      </c>
      <c r="K34" s="409">
        <v>762</v>
      </c>
      <c r="L34" s="409">
        <v>814</v>
      </c>
      <c r="M34" s="749">
        <f>1567-L34</f>
        <v>753</v>
      </c>
      <c r="N34" s="409"/>
      <c r="O34" s="409">
        <v>147</v>
      </c>
      <c r="P34" s="409">
        <v>193</v>
      </c>
      <c r="Q34" s="409">
        <v>276</v>
      </c>
      <c r="R34" s="749">
        <f>510-Q34</f>
        <v>234</v>
      </c>
      <c r="S34" s="409"/>
      <c r="T34" s="409">
        <v>409</v>
      </c>
      <c r="U34" s="409">
        <v>558</v>
      </c>
      <c r="V34" s="409">
        <v>403</v>
      </c>
      <c r="W34" s="749">
        <f>969-V34</f>
        <v>566</v>
      </c>
      <c r="X34" s="186"/>
      <c r="Y34" s="409">
        <v>115</v>
      </c>
      <c r="Z34" s="409">
        <v>412</v>
      </c>
      <c r="AA34" s="409">
        <v>171</v>
      </c>
      <c r="AB34" s="749">
        <f>569-AA34</f>
        <v>398</v>
      </c>
      <c r="AC34" s="415"/>
      <c r="AD34" s="816"/>
      <c r="AE34" s="816"/>
    </row>
    <row r="35" spans="1:31" s="181" customFormat="1" ht="3" customHeight="1" x14ac:dyDescent="0.2">
      <c r="B35" s="175"/>
      <c r="C35" s="21"/>
      <c r="D35" s="21"/>
      <c r="E35" s="182"/>
      <c r="F35" s="182"/>
      <c r="G35" s="409"/>
      <c r="H35" s="749"/>
      <c r="I35" s="409"/>
      <c r="J35" s="409"/>
      <c r="K35" s="409"/>
      <c r="L35" s="409"/>
      <c r="M35" s="749"/>
      <c r="N35" s="409"/>
      <c r="O35" s="409"/>
      <c r="P35" s="409"/>
      <c r="Q35" s="409"/>
      <c r="R35" s="749"/>
      <c r="S35" s="409"/>
      <c r="T35" s="409"/>
      <c r="U35" s="182"/>
      <c r="V35" s="409"/>
      <c r="W35" s="749"/>
      <c r="X35" s="186"/>
      <c r="Y35" s="409"/>
      <c r="Z35" s="182"/>
      <c r="AA35" s="409"/>
      <c r="AB35" s="749"/>
      <c r="AC35" s="415"/>
      <c r="AD35" s="816"/>
      <c r="AE35" s="816"/>
    </row>
    <row r="36" spans="1:31" ht="12.75" customHeight="1" x14ac:dyDescent="0.2">
      <c r="B36" s="177" t="s">
        <v>129</v>
      </c>
      <c r="C36" s="471"/>
      <c r="D36" s="471"/>
      <c r="E36" s="179">
        <v>-1</v>
      </c>
      <c r="F36" s="179">
        <v>-1</v>
      </c>
      <c r="G36" s="408">
        <v>0</v>
      </c>
      <c r="H36" s="748">
        <f>+H37-H34-H28-H27</f>
        <v>-1</v>
      </c>
      <c r="I36" s="407"/>
      <c r="J36" s="408">
        <v>0</v>
      </c>
      <c r="K36" s="408">
        <v>0</v>
      </c>
      <c r="L36" s="408">
        <v>0</v>
      </c>
      <c r="M36" s="748">
        <f>+M37-M34-M28-M27</f>
        <v>0</v>
      </c>
      <c r="N36" s="407"/>
      <c r="O36" s="408">
        <v>0</v>
      </c>
      <c r="P36" s="408">
        <v>0</v>
      </c>
      <c r="Q36" s="408">
        <f t="shared" ref="Q36" si="2">+Q37-Q34-Q28-Q27</f>
        <v>0</v>
      </c>
      <c r="R36" s="748">
        <f>+R37-R34-R28-R27</f>
        <v>0</v>
      </c>
      <c r="S36" s="407"/>
      <c r="T36" s="408">
        <v>0</v>
      </c>
      <c r="U36" s="408">
        <v>0</v>
      </c>
      <c r="V36" s="408">
        <v>0</v>
      </c>
      <c r="W36" s="748">
        <f>+W37-W34-W28-W27</f>
        <v>0</v>
      </c>
      <c r="X36" s="183"/>
      <c r="Y36" s="408">
        <v>0</v>
      </c>
      <c r="Z36" s="408">
        <v>0</v>
      </c>
      <c r="AA36" s="408">
        <v>0</v>
      </c>
      <c r="AB36" s="748">
        <f>+AB37-AB34-AB28-AB27</f>
        <v>0</v>
      </c>
      <c r="AD36" s="816"/>
      <c r="AE36" s="816"/>
    </row>
    <row r="37" spans="1:31" s="181" customFormat="1" ht="12.75" customHeight="1" x14ac:dyDescent="0.2">
      <c r="B37" s="175" t="s">
        <v>22</v>
      </c>
      <c r="C37" s="21"/>
      <c r="D37" s="21"/>
      <c r="E37" s="409">
        <v>7530</v>
      </c>
      <c r="F37" s="409">
        <v>7882</v>
      </c>
      <c r="G37" s="409">
        <v>7736</v>
      </c>
      <c r="H37" s="749">
        <f>14971-G37</f>
        <v>7235</v>
      </c>
      <c r="I37" s="409"/>
      <c r="J37" s="409">
        <v>2155</v>
      </c>
      <c r="K37" s="409">
        <v>2377</v>
      </c>
      <c r="L37" s="409">
        <v>2420</v>
      </c>
      <c r="M37" s="749">
        <f>4680-L37</f>
        <v>2260</v>
      </c>
      <c r="N37" s="409"/>
      <c r="O37" s="409">
        <v>886</v>
      </c>
      <c r="P37" s="409">
        <v>1007</v>
      </c>
      <c r="Q37" s="409">
        <v>1061</v>
      </c>
      <c r="R37" s="749">
        <f>2092-Q37</f>
        <v>1031</v>
      </c>
      <c r="S37" s="409"/>
      <c r="T37" s="409">
        <v>969</v>
      </c>
      <c r="U37" s="409">
        <v>1255</v>
      </c>
      <c r="V37" s="409">
        <v>931</v>
      </c>
      <c r="W37" s="749">
        <f>2347-V37</f>
        <v>1416</v>
      </c>
      <c r="X37" s="186"/>
      <c r="Y37" s="409">
        <v>995</v>
      </c>
      <c r="Z37" s="409">
        <v>1617</v>
      </c>
      <c r="AA37" s="409">
        <v>1106</v>
      </c>
      <c r="AB37" s="749">
        <f>2629-AA37</f>
        <v>1523</v>
      </c>
      <c r="AC37" s="415"/>
      <c r="AD37" s="816"/>
      <c r="AE37" s="816"/>
    </row>
    <row r="38" spans="1:31" s="181" customFormat="1" ht="3" customHeight="1" x14ac:dyDescent="0.2">
      <c r="B38" s="175"/>
      <c r="C38" s="21"/>
      <c r="D38" s="21"/>
      <c r="E38" s="182"/>
      <c r="F38" s="182"/>
      <c r="G38" s="409"/>
      <c r="H38" s="749"/>
      <c r="I38" s="409"/>
      <c r="J38" s="409"/>
      <c r="K38" s="409"/>
      <c r="L38" s="409"/>
      <c r="M38" s="749"/>
      <c r="N38" s="409"/>
      <c r="O38" s="182"/>
      <c r="P38" s="182"/>
      <c r="Q38" s="409"/>
      <c r="R38" s="749"/>
      <c r="S38" s="409"/>
      <c r="T38" s="182"/>
      <c r="U38" s="182"/>
      <c r="V38" s="409"/>
      <c r="W38" s="749"/>
      <c r="X38" s="186"/>
      <c r="Y38" s="182"/>
      <c r="Z38" s="182"/>
      <c r="AA38" s="409"/>
      <c r="AB38" s="749"/>
      <c r="AC38" s="415"/>
      <c r="AD38" s="816"/>
      <c r="AE38" s="816"/>
    </row>
    <row r="39" spans="1:31" s="181" customFormat="1" ht="12.75" customHeight="1" x14ac:dyDescent="0.2">
      <c r="B39" s="175"/>
      <c r="C39" s="21"/>
      <c r="D39" s="21"/>
      <c r="E39" s="178"/>
      <c r="F39" s="178"/>
      <c r="G39" s="407"/>
      <c r="H39" s="746"/>
      <c r="I39" s="409"/>
      <c r="J39" s="407"/>
      <c r="K39" s="407"/>
      <c r="L39" s="407"/>
      <c r="M39" s="746"/>
      <c r="N39" s="407"/>
      <c r="O39" s="178"/>
      <c r="P39" s="178"/>
      <c r="Q39" s="407"/>
      <c r="R39" s="746"/>
      <c r="S39" s="407"/>
      <c r="T39" s="178"/>
      <c r="U39" s="178"/>
      <c r="V39" s="407"/>
      <c r="W39" s="746"/>
      <c r="X39" s="186"/>
      <c r="Y39" s="178"/>
      <c r="Z39" s="178"/>
      <c r="AA39" s="407"/>
      <c r="AB39" s="746"/>
      <c r="AC39" s="415"/>
      <c r="AD39" s="816"/>
      <c r="AE39" s="816"/>
    </row>
    <row r="40" spans="1:31" ht="25.5" customHeight="1" x14ac:dyDescent="0.2">
      <c r="B40" s="822" t="s">
        <v>135</v>
      </c>
      <c r="C40" s="821"/>
      <c r="D40" s="460"/>
      <c r="E40" s="178">
        <v>228</v>
      </c>
      <c r="F40" s="178">
        <v>253</v>
      </c>
      <c r="G40" s="407">
        <v>328</v>
      </c>
      <c r="H40" s="746">
        <f>686-G40</f>
        <v>358</v>
      </c>
      <c r="I40" s="407"/>
      <c r="J40" s="407">
        <v>-34</v>
      </c>
      <c r="K40" s="407">
        <v>-31</v>
      </c>
      <c r="L40" s="407">
        <v>-9</v>
      </c>
      <c r="M40" s="746">
        <f>-24-L40</f>
        <v>-15</v>
      </c>
      <c r="N40" s="407"/>
      <c r="O40" s="57">
        <v>3225</v>
      </c>
      <c r="P40" s="57">
        <v>3284</v>
      </c>
      <c r="Q40" s="407">
        <v>3172</v>
      </c>
      <c r="R40" s="746">
        <f>3169-75-Q40</f>
        <v>-78</v>
      </c>
      <c r="S40" s="407"/>
      <c r="T40" s="178">
        <v>150</v>
      </c>
      <c r="U40" s="178">
        <v>281</v>
      </c>
      <c r="V40" s="407">
        <v>174</v>
      </c>
      <c r="W40" s="746">
        <f>593-V40</f>
        <v>419</v>
      </c>
      <c r="X40" s="183"/>
      <c r="Y40" s="178">
        <v>-257</v>
      </c>
      <c r="Z40" s="178">
        <v>-208</v>
      </c>
      <c r="AA40" s="407">
        <v>79</v>
      </c>
      <c r="AB40" s="746">
        <f>-33-AA40</f>
        <v>-112</v>
      </c>
      <c r="AD40" s="816"/>
      <c r="AE40" s="816"/>
    </row>
    <row r="41" spans="1:31" ht="12.75" customHeight="1" x14ac:dyDescent="0.2">
      <c r="B41" s="177" t="s">
        <v>136</v>
      </c>
      <c r="C41" s="471"/>
      <c r="D41" s="471"/>
      <c r="E41" s="178">
        <v>-30</v>
      </c>
      <c r="F41" s="178">
        <v>-21</v>
      </c>
      <c r="G41" s="407">
        <v>-18</v>
      </c>
      <c r="H41" s="746">
        <f>-38-G41</f>
        <v>-20</v>
      </c>
      <c r="I41" s="407"/>
      <c r="J41" s="407">
        <v>0</v>
      </c>
      <c r="K41" s="407">
        <v>0</v>
      </c>
      <c r="L41" s="407">
        <v>0</v>
      </c>
      <c r="M41" s="746">
        <v>0</v>
      </c>
      <c r="N41" s="407"/>
      <c r="O41" s="57">
        <v>0</v>
      </c>
      <c r="P41" s="57">
        <v>0</v>
      </c>
      <c r="Q41" s="407">
        <v>0</v>
      </c>
      <c r="R41" s="746">
        <v>0</v>
      </c>
      <c r="S41" s="407"/>
      <c r="T41" s="178">
        <v>0</v>
      </c>
      <c r="U41" s="178">
        <v>0</v>
      </c>
      <c r="V41" s="407">
        <v>0</v>
      </c>
      <c r="W41" s="746">
        <v>0</v>
      </c>
      <c r="X41" s="183"/>
      <c r="Y41" s="178">
        <v>0</v>
      </c>
      <c r="Z41" s="178">
        <v>0</v>
      </c>
      <c r="AA41" s="407">
        <v>0</v>
      </c>
      <c r="AB41" s="746">
        <v>0</v>
      </c>
      <c r="AD41" s="816"/>
      <c r="AE41" s="816"/>
    </row>
    <row r="42" spans="1:31" ht="3.95" customHeight="1" x14ac:dyDescent="0.2">
      <c r="B42" s="177"/>
      <c r="C42" s="471"/>
      <c r="D42" s="471"/>
      <c r="E42" s="178"/>
      <c r="F42" s="178"/>
      <c r="G42" s="407"/>
      <c r="H42" s="746"/>
      <c r="I42" s="407"/>
      <c r="J42" s="407"/>
      <c r="K42" s="407"/>
      <c r="L42" s="407"/>
      <c r="M42" s="746"/>
      <c r="N42" s="407"/>
      <c r="O42" s="178"/>
      <c r="P42" s="178"/>
      <c r="Q42" s="407"/>
      <c r="R42" s="746"/>
      <c r="S42" s="407"/>
      <c r="T42" s="178"/>
      <c r="U42" s="178"/>
      <c r="V42" s="407"/>
      <c r="W42" s="746"/>
      <c r="X42" s="183"/>
      <c r="Y42" s="178"/>
      <c r="Z42" s="178"/>
      <c r="AA42" s="407"/>
      <c r="AB42" s="746"/>
      <c r="AD42" s="816"/>
      <c r="AE42" s="816"/>
    </row>
    <row r="43" spans="1:31" s="181" customFormat="1" ht="16.5" customHeight="1" thickBot="1" x14ac:dyDescent="0.25">
      <c r="B43" s="175" t="s">
        <v>137</v>
      </c>
      <c r="C43" s="21"/>
      <c r="D43" s="21"/>
      <c r="E43" s="410">
        <v>21780</v>
      </c>
      <c r="F43" s="410">
        <v>22665</v>
      </c>
      <c r="G43" s="410">
        <v>22034</v>
      </c>
      <c r="H43" s="750">
        <f>+H41+H40+H37+H22</f>
        <v>21582</v>
      </c>
      <c r="I43" s="409"/>
      <c r="J43" s="410">
        <v>6702</v>
      </c>
      <c r="K43" s="410">
        <v>6864</v>
      </c>
      <c r="L43" s="410">
        <v>6609</v>
      </c>
      <c r="M43" s="750">
        <f>+M41+M40+M37+M22</f>
        <v>6222</v>
      </c>
      <c r="N43" s="409"/>
      <c r="O43" s="410">
        <v>6379</v>
      </c>
      <c r="P43" s="410">
        <v>6198</v>
      </c>
      <c r="Q43" s="410">
        <f>+Q41+Q40+Q37+Q22</f>
        <v>5841</v>
      </c>
      <c r="R43" s="750">
        <f>+R41+R40+R37+R22</f>
        <v>2033</v>
      </c>
      <c r="S43" s="409"/>
      <c r="T43" s="410">
        <v>2516</v>
      </c>
      <c r="U43" s="410">
        <v>3750</v>
      </c>
      <c r="V43" s="410">
        <v>2702</v>
      </c>
      <c r="W43" s="750">
        <f>7102-V43</f>
        <v>4400</v>
      </c>
      <c r="X43" s="186"/>
      <c r="Y43" s="410">
        <v>3229</v>
      </c>
      <c r="Z43" s="410">
        <v>4456</v>
      </c>
      <c r="AA43" s="410">
        <v>3077</v>
      </c>
      <c r="AB43" s="750">
        <f>+AB41+AB40+AB37+AB22</f>
        <v>3800</v>
      </c>
      <c r="AC43" s="415"/>
      <c r="AD43" s="816"/>
      <c r="AE43" s="816"/>
    </row>
    <row r="44" spans="1:31" s="187" customFormat="1" ht="12.75" customHeight="1" thickTop="1" x14ac:dyDescent="0.2">
      <c r="B44" s="188"/>
      <c r="C44" s="34"/>
      <c r="D44" s="34"/>
      <c r="E44" s="77"/>
      <c r="F44" s="77"/>
      <c r="G44" s="182"/>
      <c r="H44" s="182"/>
      <c r="I44" s="71"/>
      <c r="J44" s="71"/>
      <c r="K44" s="71"/>
      <c r="L44" s="71"/>
      <c r="M44" s="71"/>
      <c r="N44" s="185"/>
      <c r="O44" s="71"/>
      <c r="P44" s="71"/>
      <c r="Q44" s="71"/>
      <c r="R44" s="71"/>
      <c r="S44" s="185"/>
      <c r="T44" s="416"/>
      <c r="U44" s="409"/>
      <c r="V44" s="409"/>
      <c r="W44" s="409"/>
      <c r="X44" s="186"/>
      <c r="Y44" s="71"/>
      <c r="Z44" s="71"/>
      <c r="AA44" s="71"/>
      <c r="AB44" s="71"/>
      <c r="AC44" s="415"/>
      <c r="AD44" s="816"/>
    </row>
    <row r="45" spans="1:31" s="413" customFormat="1" ht="12.75" customHeight="1" x14ac:dyDescent="0.2">
      <c r="A45" s="411"/>
      <c r="B45" s="471" t="s">
        <v>40</v>
      </c>
      <c r="C45" s="189"/>
      <c r="D45" s="189"/>
      <c r="E45" s="190"/>
      <c r="F45" s="190"/>
      <c r="G45" s="190"/>
      <c r="H45" s="190"/>
      <c r="I45" s="183"/>
      <c r="J45" s="190"/>
      <c r="K45" s="190"/>
      <c r="L45" s="190"/>
      <c r="M45" s="190"/>
      <c r="N45" s="183"/>
      <c r="O45" s="71"/>
      <c r="P45" s="71"/>
      <c r="Q45" s="71"/>
      <c r="R45" s="71"/>
      <c r="S45" s="183"/>
      <c r="T45" s="190"/>
      <c r="U45" s="190"/>
      <c r="V45" s="190"/>
      <c r="W45" s="190"/>
      <c r="X45" s="183"/>
      <c r="Y45" s="191"/>
      <c r="Z45" s="191"/>
      <c r="AA45" s="191"/>
      <c r="AB45" s="191"/>
    </row>
    <row r="46" spans="1:31" ht="12.75" customHeight="1" x14ac:dyDescent="0.2">
      <c r="B46" s="165" t="s">
        <v>41</v>
      </c>
      <c r="C46" s="843" t="s">
        <v>303</v>
      </c>
      <c r="D46" s="843"/>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row>
    <row r="47" spans="1:31" s="404" customFormat="1" x14ac:dyDescent="0.2">
      <c r="B47" s="165"/>
      <c r="C47" s="843"/>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411"/>
    </row>
    <row r="48" spans="1:31" ht="12.75" customHeight="1" x14ac:dyDescent="0.2">
      <c r="A48"/>
      <c r="B48" s="165" t="s">
        <v>43</v>
      </c>
      <c r="C48" s="843" t="s">
        <v>138</v>
      </c>
      <c r="D48" s="843"/>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row>
    <row r="49" spans="1:29" x14ac:dyDescent="0.2">
      <c r="A49"/>
      <c r="B49" s="165" t="s">
        <v>124</v>
      </c>
      <c r="C49" s="843" t="s">
        <v>435</v>
      </c>
      <c r="D49" s="843"/>
      <c r="E49" s="843"/>
      <c r="F49" s="843"/>
      <c r="G49" s="843"/>
      <c r="H49" s="843"/>
      <c r="I49" s="843"/>
      <c r="J49" s="843"/>
      <c r="K49" s="843"/>
      <c r="L49" s="843"/>
      <c r="M49" s="843"/>
      <c r="N49" s="843"/>
      <c r="O49" s="843"/>
      <c r="P49" s="843"/>
      <c r="Q49" s="843"/>
      <c r="R49" s="843"/>
      <c r="S49" s="843"/>
      <c r="T49" s="843"/>
      <c r="U49" s="843"/>
      <c r="V49" s="843"/>
      <c r="W49" s="843"/>
      <c r="X49" s="843"/>
      <c r="Y49" s="843"/>
      <c r="Z49" s="843"/>
      <c r="AA49" s="843"/>
      <c r="AB49" s="843"/>
      <c r="AC49"/>
    </row>
    <row r="50" spans="1:29" s="793" customFormat="1" ht="27.75" customHeight="1" x14ac:dyDescent="0.2">
      <c r="B50" s="794" t="s">
        <v>139</v>
      </c>
      <c r="C50" s="851" t="s">
        <v>455</v>
      </c>
      <c r="D50" s="851"/>
      <c r="E50" s="851"/>
      <c r="F50" s="851"/>
      <c r="G50" s="851"/>
      <c r="H50" s="851"/>
      <c r="I50" s="851"/>
      <c r="J50" s="851"/>
      <c r="K50" s="851"/>
      <c r="L50" s="851"/>
      <c r="M50" s="851"/>
      <c r="N50" s="851"/>
      <c r="O50" s="851"/>
      <c r="P50" s="851"/>
      <c r="Q50" s="851"/>
      <c r="R50" s="851"/>
      <c r="S50" s="851"/>
      <c r="T50" s="851"/>
      <c r="U50" s="851"/>
      <c r="V50" s="851"/>
      <c r="W50" s="851"/>
      <c r="X50" s="851"/>
      <c r="Y50" s="851"/>
      <c r="Z50" s="851"/>
      <c r="AA50" s="851"/>
      <c r="AB50" s="851"/>
    </row>
    <row r="51" spans="1:29" ht="12.75" customHeight="1" x14ac:dyDescent="0.2">
      <c r="A51"/>
      <c r="B51" s="165" t="s">
        <v>140</v>
      </c>
      <c r="C51" s="843" t="s">
        <v>47</v>
      </c>
      <c r="D51" s="843"/>
      <c r="E51" s="843"/>
      <c r="F51" s="843"/>
      <c r="G51" s="843"/>
      <c r="H51" s="843"/>
      <c r="I51" s="843"/>
      <c r="J51" s="843"/>
      <c r="K51" s="843"/>
      <c r="L51" s="843"/>
      <c r="M51" s="843"/>
      <c r="N51" s="843"/>
      <c r="O51" s="843"/>
      <c r="P51" s="843"/>
      <c r="Q51" s="843"/>
      <c r="R51" s="843"/>
      <c r="S51" s="843"/>
      <c r="T51" s="843"/>
      <c r="U51" s="843"/>
      <c r="V51" s="843"/>
      <c r="W51" s="843"/>
      <c r="X51" s="843"/>
      <c r="Y51" s="843"/>
      <c r="Z51" s="843"/>
      <c r="AA51" s="843"/>
      <c r="AB51" s="843"/>
      <c r="AC51"/>
    </row>
  </sheetData>
  <sheetProtection formatCells="0" formatColumns="0" formatRows="0" sort="0" autoFilter="0" pivotTables="0"/>
  <mergeCells count="11">
    <mergeCell ref="B40:C40"/>
    <mergeCell ref="C46:AB47"/>
    <mergeCell ref="C49:AB49"/>
    <mergeCell ref="C50:AB50"/>
    <mergeCell ref="C51:AB51"/>
    <mergeCell ref="C48:AB48"/>
    <mergeCell ref="E2:H2"/>
    <mergeCell ref="J2:M2"/>
    <mergeCell ref="O2:R2"/>
    <mergeCell ref="T2:W2"/>
    <mergeCell ref="Y2:AB2"/>
  </mergeCells>
  <hyperlinks>
    <hyperlink ref="A1" location="Index!A1" display="Index"/>
  </hyperlinks>
  <pageMargins left="0.75" right="0.75" top="1" bottom="1" header="0.5" footer="0.5"/>
  <pageSetup paperSize="9" scale="60" orientation="landscape" horizontalDpi="300" verticalDpi="300" r:id="rId1"/>
  <headerFooter alignWithMargins="0">
    <oddHeader>&amp;L&amp;"Vodafone Rg,Regular"Vodafone Group Plc&amp;C&amp;"Vodafone Rg,Regular"05 Half-year regional analysis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195"/>
  <sheetViews>
    <sheetView showGridLines="0" zoomScale="85" zoomScaleNormal="85" workbookViewId="0">
      <pane xSplit="3" ySplit="3" topLeftCell="D4" activePane="bottomRight" state="frozen"/>
      <selection activeCell="G28" sqref="G28"/>
      <selection pane="topRight" activeCell="G28" sqref="G28"/>
      <selection pane="bottomLeft" activeCell="G28" sqref="G28"/>
      <selection pane="bottomRight" activeCell="D4" sqref="D4"/>
    </sheetView>
  </sheetViews>
  <sheetFormatPr defaultRowHeight="12.75" x14ac:dyDescent="0.2"/>
  <cols>
    <col min="1" max="1" width="5.42578125" style="65" customWidth="1"/>
    <col min="2" max="2" width="4.28515625" style="21" customWidth="1"/>
    <col min="3" max="3" width="30.42578125" style="65" customWidth="1"/>
    <col min="4" max="4" width="11.140625" style="242" customWidth="1"/>
    <col min="5" max="5" width="10.28515625" style="65" customWidth="1"/>
    <col min="6" max="6" width="11.140625" style="242" customWidth="1"/>
    <col min="7" max="10" width="10.28515625" style="65" customWidth="1"/>
    <col min="11" max="11" width="10.28515625" style="45" customWidth="1"/>
    <col min="12" max="16" width="10.28515625" style="65" customWidth="1"/>
    <col min="17" max="17" width="10.28515625" style="242" customWidth="1"/>
    <col min="18" max="19" width="10.28515625" style="243" customWidth="1"/>
    <col min="20" max="21" width="10.28515625" style="242" customWidth="1"/>
    <col min="22" max="22" width="11.140625" style="242" customWidth="1"/>
    <col min="23" max="23" width="10.28515625" style="65" customWidth="1"/>
    <col min="24" max="24" width="11.140625" style="242" customWidth="1"/>
    <col min="25" max="28" width="10.28515625" style="65" customWidth="1"/>
    <col min="29" max="29" width="10.28515625" style="45" customWidth="1"/>
    <col min="30" max="69" width="9.140625" style="65" customWidth="1"/>
    <col min="70" max="256" width="11.42578125" style="65" customWidth="1"/>
    <col min="257" max="16384" width="9.140625" style="65"/>
  </cols>
  <sheetData>
    <row r="1" spans="1:30" ht="12.75" customHeight="1" x14ac:dyDescent="0.2">
      <c r="A1" s="688" t="s">
        <v>414</v>
      </c>
      <c r="B1" s="13"/>
      <c r="D1" s="853" t="s">
        <v>142</v>
      </c>
      <c r="E1" s="853"/>
      <c r="F1" s="853"/>
      <c r="G1" s="853"/>
      <c r="H1" s="853"/>
      <c r="I1" s="853"/>
      <c r="J1" s="853"/>
      <c r="K1" s="853"/>
      <c r="M1" s="853" t="s">
        <v>143</v>
      </c>
      <c r="N1" s="853"/>
      <c r="O1" s="853"/>
      <c r="P1" s="853"/>
      <c r="Q1" s="853"/>
      <c r="R1" s="853"/>
      <c r="S1" s="853"/>
      <c r="T1" s="853"/>
      <c r="U1" s="65"/>
      <c r="V1" s="853" t="s">
        <v>144</v>
      </c>
      <c r="W1" s="853"/>
      <c r="X1" s="853"/>
      <c r="Y1" s="853"/>
      <c r="Z1" s="853"/>
      <c r="AA1" s="853"/>
      <c r="AB1" s="853"/>
      <c r="AC1" s="853"/>
    </row>
    <row r="2" spans="1:30" s="195" customFormat="1" ht="12.75" customHeight="1" x14ac:dyDescent="0.2">
      <c r="B2" s="196"/>
      <c r="D2" s="197" t="s">
        <v>8</v>
      </c>
      <c r="E2" s="197" t="s">
        <v>9</v>
      </c>
      <c r="F2" s="198" t="s">
        <v>10</v>
      </c>
      <c r="G2" s="198" t="s">
        <v>11</v>
      </c>
      <c r="H2" s="198" t="s">
        <v>12</v>
      </c>
      <c r="I2" s="198" t="s">
        <v>13</v>
      </c>
      <c r="J2" s="198" t="s">
        <v>296</v>
      </c>
      <c r="K2" s="402" t="s">
        <v>402</v>
      </c>
      <c r="L2" s="199"/>
      <c r="M2" s="200" t="s">
        <v>8</v>
      </c>
      <c r="N2" s="200" t="s">
        <v>9</v>
      </c>
      <c r="O2" s="200" t="s">
        <v>10</v>
      </c>
      <c r="P2" s="200" t="s">
        <v>11</v>
      </c>
      <c r="Q2" s="201" t="s">
        <v>12</v>
      </c>
      <c r="R2" s="198" t="s">
        <v>13</v>
      </c>
      <c r="S2" s="198" t="s">
        <v>296</v>
      </c>
      <c r="T2" s="402" t="s">
        <v>402</v>
      </c>
      <c r="U2" s="199"/>
      <c r="V2" s="197" t="s">
        <v>8</v>
      </c>
      <c r="W2" s="197" t="s">
        <v>9</v>
      </c>
      <c r="X2" s="198" t="s">
        <v>10</v>
      </c>
      <c r="Y2" s="198" t="s">
        <v>11</v>
      </c>
      <c r="Z2" s="198" t="s">
        <v>12</v>
      </c>
      <c r="AA2" s="198" t="s">
        <v>13</v>
      </c>
      <c r="AB2" s="198" t="s">
        <v>296</v>
      </c>
      <c r="AC2" s="402" t="s">
        <v>402</v>
      </c>
    </row>
    <row r="3" spans="1:30" ht="14.25" customHeight="1" x14ac:dyDescent="0.2">
      <c r="B3" s="21" t="s">
        <v>145</v>
      </c>
      <c r="D3" s="202"/>
      <c r="E3" s="202"/>
      <c r="F3" s="203"/>
      <c r="G3" s="203"/>
      <c r="H3" s="203"/>
      <c r="I3" s="203"/>
      <c r="J3" s="203"/>
      <c r="K3" s="403"/>
      <c r="M3" s="204"/>
      <c r="N3" s="204"/>
      <c r="O3" s="204"/>
      <c r="P3" s="204"/>
      <c r="Q3" s="67"/>
      <c r="R3" s="205"/>
      <c r="S3" s="205"/>
      <c r="T3" s="751"/>
      <c r="U3" s="65"/>
      <c r="V3" s="202"/>
      <c r="W3" s="202"/>
      <c r="X3" s="203"/>
      <c r="Y3" s="203"/>
      <c r="Z3" s="203"/>
      <c r="AA3" s="203"/>
      <c r="AB3" s="203"/>
      <c r="AC3" s="403"/>
    </row>
    <row r="4" spans="1:30" ht="3.95" customHeight="1" x14ac:dyDescent="0.2">
      <c r="B4" s="45"/>
      <c r="D4" s="202"/>
      <c r="E4" s="202"/>
      <c r="F4" s="203"/>
      <c r="G4" s="203"/>
      <c r="H4" s="203"/>
      <c r="I4" s="203"/>
      <c r="J4" s="203"/>
      <c r="K4" s="403"/>
      <c r="M4" s="204"/>
      <c r="N4" s="204"/>
      <c r="O4" s="204"/>
      <c r="P4" s="204"/>
      <c r="Q4" s="67"/>
      <c r="R4" s="205"/>
      <c r="S4" s="205"/>
      <c r="T4" s="751"/>
      <c r="U4" s="65"/>
      <c r="V4" s="202"/>
      <c r="W4" s="202"/>
      <c r="X4" s="203"/>
      <c r="Y4" s="203"/>
      <c r="Z4" s="203"/>
      <c r="AA4" s="203"/>
      <c r="AB4" s="203"/>
      <c r="AC4" s="403"/>
    </row>
    <row r="5" spans="1:30" ht="12.75" customHeight="1" x14ac:dyDescent="0.2">
      <c r="B5" s="45" t="s">
        <v>292</v>
      </c>
      <c r="D5" s="202"/>
      <c r="E5" s="202"/>
      <c r="F5" s="203"/>
      <c r="G5" s="203"/>
      <c r="H5" s="203"/>
      <c r="I5" s="203"/>
      <c r="J5" s="203"/>
      <c r="K5" s="403"/>
      <c r="M5" s="204"/>
      <c r="N5" s="204"/>
      <c r="O5" s="204"/>
      <c r="P5" s="204"/>
      <c r="Q5" s="67"/>
      <c r="R5" s="205"/>
      <c r="S5" s="205"/>
      <c r="T5" s="751"/>
      <c r="U5" s="65"/>
      <c r="V5" s="202"/>
      <c r="W5" s="202"/>
      <c r="X5" s="203"/>
      <c r="Y5" s="203"/>
      <c r="Z5" s="203"/>
      <c r="AA5" s="203"/>
      <c r="AB5" s="203"/>
      <c r="AC5" s="403"/>
    </row>
    <row r="6" spans="1:30" ht="13.5" customHeight="1" x14ac:dyDescent="0.2">
      <c r="B6" s="45"/>
      <c r="C6" s="10" t="s">
        <v>146</v>
      </c>
      <c r="D6" s="206">
        <v>35806</v>
      </c>
      <c r="E6" s="207">
        <v>35097</v>
      </c>
      <c r="F6" s="207">
        <v>33890</v>
      </c>
      <c r="G6" s="207">
        <v>32410</v>
      </c>
      <c r="H6" s="208">
        <v>32242</v>
      </c>
      <c r="I6" s="208">
        <v>31961</v>
      </c>
      <c r="J6" s="208">
        <v>32253</v>
      </c>
      <c r="K6" s="390">
        <v>32305</v>
      </c>
      <c r="M6" s="209">
        <v>0.56258727587555157</v>
      </c>
      <c r="N6" s="111">
        <v>0.55491922386528758</v>
      </c>
      <c r="O6" s="111">
        <v>0.54125110652109765</v>
      </c>
      <c r="P6" s="209">
        <v>0.52107374267201478</v>
      </c>
      <c r="Q6" s="209">
        <v>0.51854723652378887</v>
      </c>
      <c r="R6" s="100">
        <v>0.52260567566721938</v>
      </c>
      <c r="S6" s="365">
        <v>0.52311412891824016</v>
      </c>
      <c r="T6" s="752">
        <v>0.52</v>
      </c>
      <c r="U6" s="65"/>
      <c r="V6" s="206">
        <v>-655</v>
      </c>
      <c r="W6" s="207">
        <v>-709</v>
      </c>
      <c r="X6" s="207">
        <v>-1207</v>
      </c>
      <c r="Y6" s="207">
        <v>-1480</v>
      </c>
      <c r="Z6" s="208">
        <v>-168</v>
      </c>
      <c r="AA6" s="208">
        <v>54</v>
      </c>
      <c r="AB6" s="208">
        <v>292</v>
      </c>
      <c r="AC6" s="390">
        <f>+K6-J6</f>
        <v>52</v>
      </c>
    </row>
    <row r="7" spans="1:30" ht="13.5" customHeight="1" x14ac:dyDescent="0.2">
      <c r="B7" s="65"/>
      <c r="C7" s="10" t="s">
        <v>436</v>
      </c>
      <c r="D7" s="206">
        <v>22774</v>
      </c>
      <c r="E7" s="207">
        <v>22735</v>
      </c>
      <c r="F7" s="207">
        <v>22587</v>
      </c>
      <c r="G7" s="207">
        <v>22443</v>
      </c>
      <c r="H7" s="208">
        <v>22355</v>
      </c>
      <c r="I7" s="208">
        <v>22152</v>
      </c>
      <c r="J7" s="208">
        <v>21875</v>
      </c>
      <c r="K7" s="390">
        <v>27773</v>
      </c>
      <c r="M7" s="209">
        <v>0.82497584965311321</v>
      </c>
      <c r="N7" s="111">
        <v>0.82291620848911373</v>
      </c>
      <c r="O7" s="111">
        <v>0.8174613715854252</v>
      </c>
      <c r="P7" s="209">
        <v>0.81490888027447306</v>
      </c>
      <c r="Q7" s="209">
        <v>0.81458286736747931</v>
      </c>
      <c r="R7" s="100">
        <v>0.81288371253159986</v>
      </c>
      <c r="S7" s="365">
        <v>0.81316571428571427</v>
      </c>
      <c r="T7" s="752">
        <v>0.81799999999999995</v>
      </c>
      <c r="U7" s="65"/>
      <c r="V7" s="206">
        <v>-228</v>
      </c>
      <c r="W7" s="207">
        <v>-39</v>
      </c>
      <c r="X7" s="207">
        <v>-148</v>
      </c>
      <c r="Y7" s="207">
        <v>-144</v>
      </c>
      <c r="Z7" s="208">
        <v>-88</v>
      </c>
      <c r="AA7" s="208">
        <v>-203</v>
      </c>
      <c r="AB7" s="208">
        <v>-277</v>
      </c>
      <c r="AC7" s="390">
        <v>-591</v>
      </c>
    </row>
    <row r="8" spans="1:30" ht="13.5" customHeight="1" x14ac:dyDescent="0.2">
      <c r="B8" s="65"/>
      <c r="C8" s="376" t="s">
        <v>31</v>
      </c>
      <c r="D8" s="206">
        <v>19067</v>
      </c>
      <c r="E8" s="207">
        <v>19314</v>
      </c>
      <c r="F8" s="207">
        <v>19544</v>
      </c>
      <c r="G8" s="207">
        <v>19221</v>
      </c>
      <c r="H8" s="208">
        <v>19209</v>
      </c>
      <c r="I8" s="208">
        <v>19469</v>
      </c>
      <c r="J8" s="208">
        <v>19368</v>
      </c>
      <c r="K8" s="390">
        <v>19492</v>
      </c>
      <c r="M8" s="209">
        <v>0.45014947291131274</v>
      </c>
      <c r="N8" s="111">
        <v>0.44201097649373511</v>
      </c>
      <c r="O8" s="111">
        <v>0.43563241915677448</v>
      </c>
      <c r="P8" s="209">
        <v>0.42224650122262108</v>
      </c>
      <c r="Q8" s="209">
        <v>0.41714821177573014</v>
      </c>
      <c r="R8" s="365">
        <v>0.41815193384354615</v>
      </c>
      <c r="S8" s="365">
        <v>0.4052560925237505</v>
      </c>
      <c r="T8" s="752">
        <v>0.40100000000000002</v>
      </c>
      <c r="U8" s="65"/>
      <c r="V8" s="206">
        <v>-100</v>
      </c>
      <c r="W8" s="207">
        <v>247</v>
      </c>
      <c r="X8" s="207">
        <v>230</v>
      </c>
      <c r="Y8" s="207">
        <v>-323</v>
      </c>
      <c r="Z8" s="208">
        <v>-12</v>
      </c>
      <c r="AA8" s="208">
        <v>260</v>
      </c>
      <c r="AB8" s="208">
        <v>-101</v>
      </c>
      <c r="AC8" s="390">
        <f t="shared" ref="AC8:AC9" si="0">+K8-J8</f>
        <v>124</v>
      </c>
    </row>
    <row r="9" spans="1:30" s="376" customFormat="1" ht="13.5" customHeight="1" x14ac:dyDescent="0.2">
      <c r="B9" s="21"/>
      <c r="C9" s="376" t="s">
        <v>437</v>
      </c>
      <c r="D9" s="210">
        <v>17103</v>
      </c>
      <c r="E9" s="211">
        <v>16344</v>
      </c>
      <c r="F9" s="211">
        <v>15344</v>
      </c>
      <c r="G9" s="211">
        <v>14396</v>
      </c>
      <c r="H9" s="134">
        <v>14159</v>
      </c>
      <c r="I9" s="134">
        <v>13964</v>
      </c>
      <c r="J9" s="134">
        <v>13652</v>
      </c>
      <c r="K9" s="740">
        <v>13466</v>
      </c>
      <c r="L9" s="380"/>
      <c r="M9" s="212">
        <v>0.38730047360112263</v>
      </c>
      <c r="N9" s="212">
        <v>0.372491434165443</v>
      </c>
      <c r="O9" s="212">
        <v>0.34997393117831072</v>
      </c>
      <c r="P9" s="212">
        <v>0.32161711586551822</v>
      </c>
      <c r="Q9" s="212">
        <v>0.32106787202486053</v>
      </c>
      <c r="R9" s="213">
        <v>0.31545402463477512</v>
      </c>
      <c r="S9" s="213">
        <v>0.30259302666276006</v>
      </c>
      <c r="T9" s="753">
        <v>0.29599999999999999</v>
      </c>
      <c r="V9" s="210">
        <v>-639</v>
      </c>
      <c r="W9" s="211">
        <v>-759</v>
      </c>
      <c r="X9" s="211">
        <v>-1000</v>
      </c>
      <c r="Y9" s="211">
        <v>-617</v>
      </c>
      <c r="Z9" s="134">
        <v>-237</v>
      </c>
      <c r="AA9" s="134">
        <v>-195</v>
      </c>
      <c r="AB9" s="134">
        <v>-312</v>
      </c>
      <c r="AC9" s="740">
        <f t="shared" si="0"/>
        <v>-186</v>
      </c>
      <c r="AD9" s="380"/>
    </row>
    <row r="10" spans="1:30" s="82" customFormat="1" ht="12.75" customHeight="1" x14ac:dyDescent="0.2">
      <c r="C10" s="82" t="s">
        <v>22</v>
      </c>
      <c r="D10" s="214">
        <v>94750</v>
      </c>
      <c r="E10" s="214">
        <v>93490</v>
      </c>
      <c r="F10" s="214">
        <v>91365</v>
      </c>
      <c r="G10" s="214">
        <v>88470</v>
      </c>
      <c r="H10" s="215">
        <v>87965</v>
      </c>
      <c r="I10" s="215">
        <v>87546</v>
      </c>
      <c r="J10" s="215">
        <v>87148</v>
      </c>
      <c r="K10" s="397">
        <f t="shared" ref="K10" si="1">SUM(K6:K9)</f>
        <v>93036</v>
      </c>
      <c r="L10" s="45"/>
      <c r="M10" s="216">
        <v>0.58849871070606063</v>
      </c>
      <c r="N10" s="216">
        <v>0.58247869636716998</v>
      </c>
      <c r="O10" s="216">
        <v>0.57301482198339526</v>
      </c>
      <c r="P10" s="216">
        <v>0.56106986463923048</v>
      </c>
      <c r="Q10" s="216">
        <v>0.55937483499656793</v>
      </c>
      <c r="R10" s="217">
        <v>0.55911479063843339</v>
      </c>
      <c r="S10" s="217">
        <v>0.55471867198668567</v>
      </c>
      <c r="T10" s="754">
        <v>0.57399999999999995</v>
      </c>
      <c r="U10" s="458"/>
      <c r="V10" s="214">
        <v>-1622</v>
      </c>
      <c r="W10" s="214">
        <v>-1260</v>
      </c>
      <c r="X10" s="214">
        <v>-2125</v>
      </c>
      <c r="Y10" s="214">
        <v>-2564</v>
      </c>
      <c r="Z10" s="215">
        <v>-505</v>
      </c>
      <c r="AA10" s="215">
        <v>-84</v>
      </c>
      <c r="AB10" s="215">
        <v>-398</v>
      </c>
      <c r="AC10" s="397">
        <f t="shared" ref="AC10" si="2">SUM(AC6:AC9)</f>
        <v>-601</v>
      </c>
      <c r="AD10" s="45"/>
    </row>
    <row r="11" spans="1:30" ht="3.75" customHeight="1" x14ac:dyDescent="0.2">
      <c r="B11" s="45"/>
      <c r="D11" s="206"/>
      <c r="E11" s="207"/>
      <c r="F11" s="207"/>
      <c r="G11" s="207"/>
      <c r="H11" s="208"/>
      <c r="I11" s="208"/>
      <c r="J11" s="208"/>
      <c r="K11" s="390"/>
      <c r="M11" s="209"/>
      <c r="N11" s="111"/>
      <c r="O11" s="111"/>
      <c r="P11" s="209"/>
      <c r="Q11" s="209"/>
      <c r="R11" s="100"/>
      <c r="S11" s="365"/>
      <c r="T11" s="752"/>
      <c r="U11" s="65"/>
      <c r="V11" s="206"/>
      <c r="W11" s="207"/>
      <c r="X11" s="207"/>
      <c r="Y11" s="207"/>
      <c r="Z11" s="208"/>
      <c r="AA11" s="208"/>
      <c r="AB11" s="208"/>
      <c r="AC11" s="390"/>
    </row>
    <row r="12" spans="1:30" ht="12.75" customHeight="1" x14ac:dyDescent="0.2">
      <c r="B12" s="45" t="s">
        <v>297</v>
      </c>
      <c r="D12" s="206"/>
      <c r="E12" s="207"/>
      <c r="F12" s="207"/>
      <c r="G12" s="207"/>
      <c r="H12" s="208"/>
      <c r="I12" s="208"/>
      <c r="J12" s="208"/>
      <c r="K12" s="390"/>
      <c r="M12" s="209"/>
      <c r="N12" s="111"/>
      <c r="O12" s="111"/>
      <c r="P12" s="209"/>
      <c r="Q12" s="209"/>
      <c r="R12" s="100"/>
      <c r="S12" s="365"/>
      <c r="T12" s="752"/>
      <c r="U12" s="65"/>
      <c r="V12" s="206"/>
      <c r="W12" s="207"/>
      <c r="X12" s="207"/>
      <c r="Y12" s="207"/>
      <c r="Z12" s="208"/>
      <c r="AA12" s="208"/>
      <c r="AB12" s="208"/>
      <c r="AC12" s="390"/>
    </row>
    <row r="13" spans="1:30" ht="13.5" customHeight="1" x14ac:dyDescent="0.2">
      <c r="B13" s="45"/>
      <c r="C13" s="65" t="s">
        <v>147</v>
      </c>
      <c r="D13" s="206">
        <v>5301</v>
      </c>
      <c r="E13" s="207">
        <v>5343</v>
      </c>
      <c r="F13" s="207">
        <v>5288</v>
      </c>
      <c r="G13" s="207">
        <v>5298</v>
      </c>
      <c r="H13" s="208">
        <v>5322</v>
      </c>
      <c r="I13" s="208">
        <v>5297</v>
      </c>
      <c r="J13" s="208">
        <v>5279</v>
      </c>
      <c r="K13" s="390">
        <v>5267</v>
      </c>
      <c r="M13" s="209">
        <v>0.35351820411243162</v>
      </c>
      <c r="N13" s="111">
        <v>0.3434400149728617</v>
      </c>
      <c r="O13" s="111">
        <v>0.33055975794251136</v>
      </c>
      <c r="P13" s="209">
        <v>0.32238580596451494</v>
      </c>
      <c r="Q13" s="209">
        <v>0.31585869973694097</v>
      </c>
      <c r="R13" s="100">
        <v>0.30696620728714369</v>
      </c>
      <c r="S13" s="365">
        <v>0.29399507482477744</v>
      </c>
      <c r="T13" s="752">
        <v>0.28299999999999997</v>
      </c>
      <c r="U13" s="65"/>
      <c r="V13" s="206">
        <v>17</v>
      </c>
      <c r="W13" s="207">
        <v>42</v>
      </c>
      <c r="X13" s="207">
        <v>-55</v>
      </c>
      <c r="Y13" s="207">
        <v>10</v>
      </c>
      <c r="Z13" s="208">
        <v>24</v>
      </c>
      <c r="AA13" s="208">
        <v>-25</v>
      </c>
      <c r="AB13" s="208">
        <v>-18</v>
      </c>
      <c r="AC13" s="390">
        <f t="shared" ref="AC13:AC21" si="3">+K13-J13</f>
        <v>-12</v>
      </c>
    </row>
    <row r="14" spans="1:30" ht="13.5" customHeight="1" x14ac:dyDescent="0.2">
      <c r="B14" s="45"/>
      <c r="C14" s="65" t="s">
        <v>150</v>
      </c>
      <c r="D14" s="206">
        <v>2201</v>
      </c>
      <c r="E14" s="207">
        <v>2198</v>
      </c>
      <c r="F14" s="207">
        <v>2201</v>
      </c>
      <c r="G14" s="207">
        <v>2162</v>
      </c>
      <c r="H14" s="208">
        <v>2138</v>
      </c>
      <c r="I14" s="208">
        <v>2140</v>
      </c>
      <c r="J14" s="208">
        <v>2149</v>
      </c>
      <c r="K14" s="390">
        <v>2121</v>
      </c>
      <c r="M14" s="209">
        <v>0.65833711949114038</v>
      </c>
      <c r="N14" s="111">
        <v>0.65377616014558693</v>
      </c>
      <c r="O14" s="111">
        <v>0.64606996819627438</v>
      </c>
      <c r="P14" s="209">
        <v>0.63413506012950971</v>
      </c>
      <c r="Q14" s="209">
        <v>0.61927034611786713</v>
      </c>
      <c r="R14" s="100">
        <v>0.60700934579439247</v>
      </c>
      <c r="S14" s="365">
        <v>0.59190321079571895</v>
      </c>
      <c r="T14" s="752">
        <v>0.57399999999999995</v>
      </c>
      <c r="U14" s="65"/>
      <c r="V14" s="206">
        <v>-17</v>
      </c>
      <c r="W14" s="207">
        <v>-3</v>
      </c>
      <c r="X14" s="207">
        <v>3</v>
      </c>
      <c r="Y14" s="207">
        <v>-39</v>
      </c>
      <c r="Z14" s="208">
        <v>-24</v>
      </c>
      <c r="AA14" s="208">
        <v>2</v>
      </c>
      <c r="AB14" s="208">
        <v>9</v>
      </c>
      <c r="AC14" s="390">
        <f t="shared" si="3"/>
        <v>-28</v>
      </c>
    </row>
    <row r="15" spans="1:30" s="10" customFormat="1" ht="13.5" customHeight="1" x14ac:dyDescent="0.2">
      <c r="B15" s="21"/>
      <c r="C15" s="10" t="s">
        <v>153</v>
      </c>
      <c r="D15" s="206">
        <v>6139</v>
      </c>
      <c r="E15" s="218">
        <v>6267</v>
      </c>
      <c r="F15" s="218">
        <v>6267</v>
      </c>
      <c r="G15" s="218">
        <v>6092</v>
      </c>
      <c r="H15" s="135">
        <v>5937</v>
      </c>
      <c r="I15" s="135">
        <v>5896</v>
      </c>
      <c r="J15" s="135">
        <v>5774</v>
      </c>
      <c r="K15" s="388">
        <v>5569</v>
      </c>
      <c r="L15" s="380"/>
      <c r="M15" s="111">
        <v>0.81837432806646038</v>
      </c>
      <c r="N15" s="111">
        <v>0.82367959151108983</v>
      </c>
      <c r="O15" s="111">
        <v>0.82575394925801815</v>
      </c>
      <c r="P15" s="111">
        <v>0.82304661851608663</v>
      </c>
      <c r="Q15" s="111">
        <v>0.8192689910729325</v>
      </c>
      <c r="R15" s="219">
        <v>0.81580732700135683</v>
      </c>
      <c r="S15" s="219">
        <v>0.80741253896778664</v>
      </c>
      <c r="T15" s="755">
        <v>0.77600000000000002</v>
      </c>
      <c r="V15" s="206">
        <v>-27</v>
      </c>
      <c r="W15" s="218">
        <v>128</v>
      </c>
      <c r="X15" s="218">
        <v>0</v>
      </c>
      <c r="Y15" s="218">
        <v>-175</v>
      </c>
      <c r="Z15" s="135">
        <v>-155</v>
      </c>
      <c r="AA15" s="135">
        <v>-41</v>
      </c>
      <c r="AB15" s="135">
        <v>-122</v>
      </c>
      <c r="AC15" s="388">
        <f t="shared" si="3"/>
        <v>-205</v>
      </c>
      <c r="AD15" s="380"/>
    </row>
    <row r="16" spans="1:30" s="380" customFormat="1" ht="13.5" customHeight="1" x14ac:dyDescent="0.2">
      <c r="B16" s="21"/>
      <c r="C16" s="380" t="s">
        <v>151</v>
      </c>
      <c r="D16" s="206">
        <v>7798</v>
      </c>
      <c r="E16" s="218">
        <v>7874</v>
      </c>
      <c r="F16" s="218">
        <v>8122</v>
      </c>
      <c r="G16" s="218">
        <v>8081</v>
      </c>
      <c r="H16" s="135">
        <v>8138</v>
      </c>
      <c r="I16" s="135">
        <v>8183</v>
      </c>
      <c r="J16" s="135">
        <v>8315</v>
      </c>
      <c r="K16" s="388">
        <v>8186</v>
      </c>
      <c r="M16" s="111">
        <v>0.56963323929212617</v>
      </c>
      <c r="N16" s="111">
        <v>0.57835915671831339</v>
      </c>
      <c r="O16" s="111">
        <v>0.59049495198227042</v>
      </c>
      <c r="P16" s="111">
        <v>0.59299591634698678</v>
      </c>
      <c r="Q16" s="111">
        <v>0.59609240599655933</v>
      </c>
      <c r="R16" s="219">
        <v>0.59672491751191492</v>
      </c>
      <c r="S16" s="219">
        <v>0.59891761876127481</v>
      </c>
      <c r="T16" s="755">
        <v>0.59499999999999997</v>
      </c>
      <c r="V16" s="206">
        <v>-141</v>
      </c>
      <c r="W16" s="218">
        <v>76</v>
      </c>
      <c r="X16" s="218">
        <v>248</v>
      </c>
      <c r="Y16" s="218">
        <v>-41</v>
      </c>
      <c r="Z16" s="135">
        <v>57</v>
      </c>
      <c r="AA16" s="135">
        <v>45</v>
      </c>
      <c r="AB16" s="135">
        <v>132</v>
      </c>
      <c r="AC16" s="388">
        <f t="shared" si="3"/>
        <v>-129</v>
      </c>
    </row>
    <row r="17" spans="2:30" s="380" customFormat="1" ht="13.5" customHeight="1" x14ac:dyDescent="0.2">
      <c r="B17" s="21"/>
      <c r="C17" s="380" t="s">
        <v>152</v>
      </c>
      <c r="D17" s="206">
        <v>4295</v>
      </c>
      <c r="E17" s="218">
        <v>4314</v>
      </c>
      <c r="F17" s="218">
        <v>4407</v>
      </c>
      <c r="G17" s="218">
        <v>4509</v>
      </c>
      <c r="H17" s="135">
        <v>4631</v>
      </c>
      <c r="I17" s="135">
        <v>4788</v>
      </c>
      <c r="J17" s="135">
        <v>4876</v>
      </c>
      <c r="K17" s="388">
        <v>4899</v>
      </c>
      <c r="M17" s="111">
        <v>0.63119906868451692</v>
      </c>
      <c r="N17" s="111">
        <v>0.63560500695410294</v>
      </c>
      <c r="O17" s="111">
        <v>0.6448831404583617</v>
      </c>
      <c r="P17" s="111">
        <v>0.65690840541139939</v>
      </c>
      <c r="Q17" s="111">
        <v>0.6683221766357158</v>
      </c>
      <c r="R17" s="219">
        <v>0.67522974101921474</v>
      </c>
      <c r="S17" s="219">
        <v>0.67986054142739949</v>
      </c>
      <c r="T17" s="755">
        <v>0.68100000000000005</v>
      </c>
      <c r="V17" s="206">
        <v>89</v>
      </c>
      <c r="W17" s="218">
        <v>19</v>
      </c>
      <c r="X17" s="218">
        <v>93</v>
      </c>
      <c r="Y17" s="218">
        <v>102</v>
      </c>
      <c r="Z17" s="135">
        <v>122</v>
      </c>
      <c r="AA17" s="135">
        <v>157</v>
      </c>
      <c r="AB17" s="135">
        <v>88</v>
      </c>
      <c r="AC17" s="388">
        <f t="shared" si="3"/>
        <v>23</v>
      </c>
    </row>
    <row r="18" spans="2:30" s="380" customFormat="1" ht="13.5" customHeight="1" x14ac:dyDescent="0.2">
      <c r="B18" s="21"/>
      <c r="C18" s="380" t="s">
        <v>193</v>
      </c>
      <c r="D18" s="206">
        <v>3321</v>
      </c>
      <c r="E18" s="218">
        <v>3365</v>
      </c>
      <c r="F18" s="218">
        <v>3375</v>
      </c>
      <c r="G18" s="218">
        <v>3358</v>
      </c>
      <c r="H18" s="135">
        <v>3334</v>
      </c>
      <c r="I18" s="135">
        <v>3301</v>
      </c>
      <c r="J18" s="135">
        <v>3277</v>
      </c>
      <c r="K18" s="388">
        <v>3236</v>
      </c>
      <c r="M18" s="111">
        <v>0.44534778681120146</v>
      </c>
      <c r="N18" s="111">
        <v>0.44427934621099552</v>
      </c>
      <c r="O18" s="111">
        <v>0.44148148148148147</v>
      </c>
      <c r="P18" s="111">
        <v>0.43865396069088741</v>
      </c>
      <c r="Q18" s="111">
        <v>0.4340131973605279</v>
      </c>
      <c r="R18" s="219">
        <v>0.42714328991214784</v>
      </c>
      <c r="S18" s="219">
        <v>0.40982606042111686</v>
      </c>
      <c r="T18" s="755">
        <v>0.39500000000000002</v>
      </c>
      <c r="V18" s="206">
        <v>22</v>
      </c>
      <c r="W18" s="218">
        <v>44</v>
      </c>
      <c r="X18" s="218">
        <v>10</v>
      </c>
      <c r="Y18" s="218">
        <v>-17</v>
      </c>
      <c r="Z18" s="135">
        <v>-24</v>
      </c>
      <c r="AA18" s="135">
        <v>-33</v>
      </c>
      <c r="AB18" s="135">
        <v>-24</v>
      </c>
      <c r="AC18" s="388">
        <f t="shared" si="3"/>
        <v>-41</v>
      </c>
    </row>
    <row r="19" spans="2:30" ht="13.5" customHeight="1" x14ac:dyDescent="0.2">
      <c r="B19" s="45"/>
      <c r="C19" s="65" t="s">
        <v>149</v>
      </c>
      <c r="D19" s="206">
        <v>2628</v>
      </c>
      <c r="E19" s="207">
        <v>2612</v>
      </c>
      <c r="F19" s="207">
        <v>2631</v>
      </c>
      <c r="G19" s="207">
        <v>2606</v>
      </c>
      <c r="H19" s="208">
        <v>2606</v>
      </c>
      <c r="I19" s="208">
        <v>2618</v>
      </c>
      <c r="J19" s="208">
        <v>2598</v>
      </c>
      <c r="K19" s="390">
        <v>2578</v>
      </c>
      <c r="M19" s="209">
        <v>0.50114155251141557</v>
      </c>
      <c r="N19" s="111">
        <v>0.5038284839203675</v>
      </c>
      <c r="O19" s="111">
        <v>0.49866970733561383</v>
      </c>
      <c r="P19" s="209">
        <v>0.49424405218726014</v>
      </c>
      <c r="Q19" s="209">
        <v>0.48733691481197239</v>
      </c>
      <c r="R19" s="100">
        <v>0.48433919022154315</v>
      </c>
      <c r="S19" s="365">
        <v>0.47613548883756734</v>
      </c>
      <c r="T19" s="752">
        <v>0.46200000000000002</v>
      </c>
      <c r="U19" s="65"/>
      <c r="V19" s="206">
        <v>-29</v>
      </c>
      <c r="W19" s="207">
        <v>-16</v>
      </c>
      <c r="X19" s="207">
        <v>19</v>
      </c>
      <c r="Y19" s="207">
        <v>-25</v>
      </c>
      <c r="Z19" s="208">
        <v>0</v>
      </c>
      <c r="AA19" s="208">
        <v>12</v>
      </c>
      <c r="AB19" s="208">
        <v>-20</v>
      </c>
      <c r="AC19" s="390">
        <f t="shared" si="3"/>
        <v>-20</v>
      </c>
    </row>
    <row r="20" spans="2:30" ht="13.5" customHeight="1" x14ac:dyDescent="0.2">
      <c r="B20" s="45"/>
      <c r="C20" s="65" t="s">
        <v>154</v>
      </c>
      <c r="D20" s="206">
        <v>1839</v>
      </c>
      <c r="E20" s="207">
        <v>1965</v>
      </c>
      <c r="F20" s="207">
        <v>2020</v>
      </c>
      <c r="G20" s="207">
        <v>2035</v>
      </c>
      <c r="H20" s="208">
        <v>2095</v>
      </c>
      <c r="I20" s="208">
        <v>2240</v>
      </c>
      <c r="J20" s="208">
        <v>2240</v>
      </c>
      <c r="K20" s="390">
        <v>1954</v>
      </c>
      <c r="M20" s="209">
        <v>0.94072865687873841</v>
      </c>
      <c r="N20" s="111">
        <v>0.94605597964376587</v>
      </c>
      <c r="O20" s="111">
        <v>0.94950495049504946</v>
      </c>
      <c r="P20" s="209">
        <v>0.94987714987714988</v>
      </c>
      <c r="Q20" s="209">
        <v>0.95035799522673026</v>
      </c>
      <c r="R20" s="100">
        <v>0.95223214285714286</v>
      </c>
      <c r="S20" s="365">
        <v>0.95178571428571423</v>
      </c>
      <c r="T20" s="752">
        <v>0.94399999999999995</v>
      </c>
      <c r="U20" s="65"/>
      <c r="V20" s="206">
        <v>34</v>
      </c>
      <c r="W20" s="207">
        <v>126</v>
      </c>
      <c r="X20" s="207">
        <v>55</v>
      </c>
      <c r="Y20" s="207">
        <v>15</v>
      </c>
      <c r="Z20" s="208">
        <v>60</v>
      </c>
      <c r="AA20" s="208">
        <v>145</v>
      </c>
      <c r="AB20" s="208">
        <v>0</v>
      </c>
      <c r="AC20" s="390">
        <f t="shared" si="3"/>
        <v>-286</v>
      </c>
    </row>
    <row r="21" spans="2:30" s="10" customFormat="1" ht="13.5" customHeight="1" x14ac:dyDescent="0.2">
      <c r="B21" s="21"/>
      <c r="C21" s="10" t="s">
        <v>155</v>
      </c>
      <c r="D21" s="210">
        <v>324</v>
      </c>
      <c r="E21" s="211">
        <v>337</v>
      </c>
      <c r="F21" s="211">
        <v>340</v>
      </c>
      <c r="G21" s="211">
        <v>330</v>
      </c>
      <c r="H21" s="134">
        <v>340</v>
      </c>
      <c r="I21" s="134">
        <v>352</v>
      </c>
      <c r="J21" s="134">
        <v>358</v>
      </c>
      <c r="K21" s="740">
        <v>302</v>
      </c>
      <c r="L21" s="380"/>
      <c r="M21" s="212">
        <v>0.84567901234567899</v>
      </c>
      <c r="N21" s="212">
        <v>0.8486646884272997</v>
      </c>
      <c r="O21" s="212">
        <v>0.84705882352941175</v>
      </c>
      <c r="P21" s="212">
        <v>0.84242424242424241</v>
      </c>
      <c r="Q21" s="212">
        <v>0.84705882352941175</v>
      </c>
      <c r="R21" s="213">
        <v>0.84943181818181823</v>
      </c>
      <c r="S21" s="213">
        <v>0.85195530726256985</v>
      </c>
      <c r="T21" s="753">
        <v>0.82499999999999996</v>
      </c>
      <c r="V21" s="210">
        <v>29</v>
      </c>
      <c r="W21" s="211">
        <v>13</v>
      </c>
      <c r="X21" s="211">
        <v>3</v>
      </c>
      <c r="Y21" s="211">
        <v>-10</v>
      </c>
      <c r="Z21" s="134">
        <v>10</v>
      </c>
      <c r="AA21" s="134">
        <v>12</v>
      </c>
      <c r="AB21" s="134">
        <v>6</v>
      </c>
      <c r="AC21" s="740">
        <f t="shared" si="3"/>
        <v>-56</v>
      </c>
      <c r="AD21" s="380"/>
    </row>
    <row r="22" spans="2:30" ht="12.75" customHeight="1" x14ac:dyDescent="0.2">
      <c r="B22" s="45"/>
      <c r="C22" s="82" t="s">
        <v>22</v>
      </c>
      <c r="D22" s="214">
        <v>33846</v>
      </c>
      <c r="E22" s="214">
        <v>34275</v>
      </c>
      <c r="F22" s="214">
        <v>34651</v>
      </c>
      <c r="G22" s="214">
        <v>34471</v>
      </c>
      <c r="H22" s="215">
        <v>34541</v>
      </c>
      <c r="I22" s="215">
        <v>34815</v>
      </c>
      <c r="J22" s="215">
        <v>34866</v>
      </c>
      <c r="K22" s="397">
        <f t="shared" ref="K22" si="4">SUM(K13:K21)</f>
        <v>34112</v>
      </c>
      <c r="M22" s="216">
        <v>0.59977545352478878</v>
      </c>
      <c r="N22" s="220">
        <v>0.60353026987600289</v>
      </c>
      <c r="O22" s="220">
        <v>0.60578338287495315</v>
      </c>
      <c r="P22" s="216">
        <v>0.603956949319718</v>
      </c>
      <c r="Q22" s="216">
        <v>0.60250137517732549</v>
      </c>
      <c r="R22" s="217">
        <v>0.60206807410598884</v>
      </c>
      <c r="S22" s="217">
        <v>0.59651236161303278</v>
      </c>
      <c r="T22" s="754">
        <v>0.57999999999999996</v>
      </c>
      <c r="U22" s="65"/>
      <c r="V22" s="214">
        <v>-23</v>
      </c>
      <c r="W22" s="214">
        <v>429</v>
      </c>
      <c r="X22" s="214">
        <v>376</v>
      </c>
      <c r="Y22" s="214">
        <v>-180</v>
      </c>
      <c r="Z22" s="215">
        <v>70</v>
      </c>
      <c r="AA22" s="215">
        <v>274</v>
      </c>
      <c r="AB22" s="215">
        <v>51</v>
      </c>
      <c r="AC22" s="397">
        <f t="shared" ref="AC22" si="5">SUM(AC13:AC21)</f>
        <v>-754</v>
      </c>
    </row>
    <row r="23" spans="2:30" ht="4.5" customHeight="1" x14ac:dyDescent="0.2">
      <c r="B23" s="45"/>
      <c r="D23" s="214"/>
      <c r="E23" s="221"/>
      <c r="F23" s="221"/>
      <c r="G23" s="221"/>
      <c r="H23" s="208"/>
      <c r="I23" s="208"/>
      <c r="J23" s="208"/>
      <c r="K23" s="390"/>
      <c r="M23" s="209"/>
      <c r="N23" s="111"/>
      <c r="O23" s="111"/>
      <c r="P23" s="209"/>
      <c r="Q23" s="209"/>
      <c r="R23" s="100"/>
      <c r="S23" s="365"/>
      <c r="T23" s="752"/>
      <c r="U23" s="65"/>
      <c r="V23" s="214"/>
      <c r="W23" s="221"/>
      <c r="X23" s="221"/>
      <c r="Y23" s="221"/>
      <c r="Z23" s="208"/>
      <c r="AA23" s="208"/>
      <c r="AB23" s="208"/>
      <c r="AC23" s="390"/>
    </row>
    <row r="24" spans="2:30" s="45" customFormat="1" ht="12.75" customHeight="1" x14ac:dyDescent="0.2">
      <c r="B24" s="45" t="s">
        <v>292</v>
      </c>
      <c r="D24" s="222">
        <v>128596</v>
      </c>
      <c r="E24" s="222">
        <v>127765</v>
      </c>
      <c r="F24" s="222">
        <v>126016</v>
      </c>
      <c r="G24" s="222">
        <v>122941</v>
      </c>
      <c r="H24" s="223">
        <v>122506</v>
      </c>
      <c r="I24" s="223">
        <v>122361</v>
      </c>
      <c r="J24" s="223">
        <v>122014</v>
      </c>
      <c r="K24" s="398">
        <f t="shared" ref="K24" si="6">+K22+K10</f>
        <v>127148</v>
      </c>
      <c r="M24" s="224">
        <v>0.59131648111508139</v>
      </c>
      <c r="N24" s="224">
        <v>0.5878389421291137</v>
      </c>
      <c r="O24" s="224">
        <v>0.58156396819660283</v>
      </c>
      <c r="P24" s="224">
        <v>0.57246834955049419</v>
      </c>
      <c r="Q24" s="224">
        <v>0.57090129685227031</v>
      </c>
      <c r="R24" s="225">
        <v>0.5707044873285283</v>
      </c>
      <c r="S24" s="225">
        <v>0.56604976671850704</v>
      </c>
      <c r="T24" s="756">
        <v>0.57499999999999996</v>
      </c>
      <c r="V24" s="222">
        <v>-1645</v>
      </c>
      <c r="W24" s="222">
        <v>-831</v>
      </c>
      <c r="X24" s="222">
        <v>-1749</v>
      </c>
      <c r="Y24" s="222">
        <v>-2744</v>
      </c>
      <c r="Z24" s="223">
        <v>-435</v>
      </c>
      <c r="AA24" s="223">
        <v>190</v>
      </c>
      <c r="AB24" s="223">
        <v>-347</v>
      </c>
      <c r="AC24" s="398">
        <f t="shared" ref="AC24" si="7">+AC22+AC10</f>
        <v>-1355</v>
      </c>
    </row>
    <row r="25" spans="2:30" ht="3.75" customHeight="1" x14ac:dyDescent="0.2">
      <c r="B25" s="45"/>
      <c r="D25" s="206"/>
      <c r="E25" s="207"/>
      <c r="F25" s="207"/>
      <c r="G25" s="207"/>
      <c r="H25" s="208"/>
      <c r="I25" s="208"/>
      <c r="J25" s="208"/>
      <c r="K25" s="390"/>
      <c r="M25" s="209"/>
      <c r="N25" s="111"/>
      <c r="O25" s="111"/>
      <c r="P25" s="209"/>
      <c r="Q25" s="209"/>
      <c r="R25" s="100"/>
      <c r="S25" s="365"/>
      <c r="T25" s="752"/>
      <c r="U25" s="65"/>
      <c r="V25" s="206"/>
      <c r="W25" s="207"/>
      <c r="X25" s="207"/>
      <c r="Y25" s="207"/>
      <c r="Z25" s="208"/>
      <c r="AA25" s="208"/>
      <c r="AB25" s="208"/>
      <c r="AC25" s="390"/>
    </row>
    <row r="26" spans="2:30" ht="12.75" customHeight="1" x14ac:dyDescent="0.2">
      <c r="B26" s="45" t="s">
        <v>16</v>
      </c>
      <c r="D26" s="206"/>
      <c r="E26" s="207"/>
      <c r="F26" s="207"/>
      <c r="G26" s="207"/>
      <c r="H26" s="208"/>
      <c r="I26" s="208"/>
      <c r="J26" s="208"/>
      <c r="K26" s="390"/>
      <c r="M26" s="209"/>
      <c r="N26" s="111"/>
      <c r="O26" s="111"/>
      <c r="P26" s="209"/>
      <c r="Q26" s="209"/>
      <c r="R26" s="100"/>
      <c r="S26" s="365"/>
      <c r="T26" s="752"/>
      <c r="U26" s="65"/>
      <c r="V26" s="206"/>
      <c r="W26" s="207"/>
      <c r="X26" s="207"/>
      <c r="Y26" s="207"/>
      <c r="Z26" s="208"/>
      <c r="AA26" s="208"/>
      <c r="AB26" s="208"/>
      <c r="AC26" s="390"/>
    </row>
    <row r="27" spans="2:30" ht="13.5" customHeight="1" x14ac:dyDescent="0.2">
      <c r="B27" s="45"/>
      <c r="C27" s="65" t="s">
        <v>132</v>
      </c>
      <c r="D27" s="206">
        <v>153708</v>
      </c>
      <c r="E27" s="207">
        <v>152665</v>
      </c>
      <c r="F27" s="207">
        <v>147476</v>
      </c>
      <c r="G27" s="207">
        <v>152354</v>
      </c>
      <c r="H27" s="208">
        <v>155034</v>
      </c>
      <c r="I27" s="208">
        <v>155543</v>
      </c>
      <c r="J27" s="208">
        <v>160408</v>
      </c>
      <c r="K27" s="390">
        <v>166561</v>
      </c>
      <c r="M27" s="209">
        <v>0.95002211986363749</v>
      </c>
      <c r="N27" s="111">
        <v>0.94794484655946021</v>
      </c>
      <c r="O27" s="111">
        <v>0.94445197862703079</v>
      </c>
      <c r="P27" s="209">
        <v>0.94365097076545412</v>
      </c>
      <c r="Q27" s="209">
        <v>0.94167085929538041</v>
      </c>
      <c r="R27" s="100">
        <v>0.93841574355644419</v>
      </c>
      <c r="S27" s="365">
        <v>0.93710413445713425</v>
      </c>
      <c r="T27" s="752">
        <v>0.93700000000000006</v>
      </c>
      <c r="U27" s="65"/>
      <c r="V27" s="206">
        <v>3243</v>
      </c>
      <c r="W27" s="207">
        <v>-1043</v>
      </c>
      <c r="X27" s="207">
        <v>-5189</v>
      </c>
      <c r="Y27" s="207">
        <v>4878</v>
      </c>
      <c r="Z27" s="208">
        <v>2680</v>
      </c>
      <c r="AA27" s="208">
        <v>509</v>
      </c>
      <c r="AB27" s="208">
        <v>4865</v>
      </c>
      <c r="AC27" s="390">
        <f t="shared" ref="AC27:AC28" si="8">+K27-J27</f>
        <v>6153</v>
      </c>
    </row>
    <row r="28" spans="2:30" ht="13.5" customHeight="1" x14ac:dyDescent="0.2">
      <c r="B28" s="45"/>
      <c r="C28" s="10" t="s">
        <v>438</v>
      </c>
      <c r="D28" s="210">
        <v>56632</v>
      </c>
      <c r="E28" s="211">
        <v>58192</v>
      </c>
      <c r="F28" s="211">
        <v>58902</v>
      </c>
      <c r="G28" s="211">
        <v>59011</v>
      </c>
      <c r="H28" s="134">
        <v>58989</v>
      </c>
      <c r="I28" s="134">
        <v>60471</v>
      </c>
      <c r="J28" s="134">
        <v>63103</v>
      </c>
      <c r="K28" s="740">
        <v>65381</v>
      </c>
      <c r="M28" s="212">
        <v>0.89708998446108212</v>
      </c>
      <c r="N28" s="212">
        <v>0.89855993951058566</v>
      </c>
      <c r="O28" s="212">
        <v>0.89723608705986213</v>
      </c>
      <c r="P28" s="212">
        <v>0.89634136008540777</v>
      </c>
      <c r="Q28" s="212">
        <v>0.91573005136550878</v>
      </c>
      <c r="R28" s="213">
        <v>0.91734881182715677</v>
      </c>
      <c r="S28" s="213">
        <v>0.92003549751992775</v>
      </c>
      <c r="T28" s="753">
        <v>0.92300000000000004</v>
      </c>
      <c r="U28" s="65"/>
      <c r="V28" s="210">
        <v>3837</v>
      </c>
      <c r="W28" s="211">
        <v>1560</v>
      </c>
      <c r="X28" s="211">
        <v>710</v>
      </c>
      <c r="Y28" s="211">
        <v>109</v>
      </c>
      <c r="Z28" s="134">
        <v>1137</v>
      </c>
      <c r="AA28" s="134">
        <v>1482</v>
      </c>
      <c r="AB28" s="134">
        <v>2632</v>
      </c>
      <c r="AC28" s="740">
        <f t="shared" si="8"/>
        <v>2278</v>
      </c>
    </row>
    <row r="29" spans="2:30" ht="12.75" customHeight="1" x14ac:dyDescent="0.2">
      <c r="B29" s="45"/>
      <c r="C29" s="82" t="s">
        <v>22</v>
      </c>
      <c r="D29" s="214">
        <v>210340</v>
      </c>
      <c r="E29" s="221">
        <v>210857</v>
      </c>
      <c r="F29" s="221">
        <v>206378</v>
      </c>
      <c r="G29" s="221">
        <v>211365</v>
      </c>
      <c r="H29" s="215">
        <v>214023</v>
      </c>
      <c r="I29" s="215">
        <v>216014</v>
      </c>
      <c r="J29" s="215">
        <v>223511</v>
      </c>
      <c r="K29" s="397">
        <f t="shared" ref="K29" si="9">SUM(K27:K28)</f>
        <v>231942</v>
      </c>
      <c r="M29" s="216">
        <v>0.93577065703147289</v>
      </c>
      <c r="N29" s="216">
        <v>0.93431567365560542</v>
      </c>
      <c r="O29" s="216">
        <v>0.9309761699405944</v>
      </c>
      <c r="P29" s="216">
        <v>0.93044259929505835</v>
      </c>
      <c r="Q29" s="216">
        <v>0.93452105614817094</v>
      </c>
      <c r="R29" s="217">
        <v>0.932518262705195</v>
      </c>
      <c r="S29" s="217">
        <v>0.93228521191350766</v>
      </c>
      <c r="T29" s="754">
        <v>0.93300000000000005</v>
      </c>
      <c r="U29" s="65"/>
      <c r="V29" s="214">
        <v>7080</v>
      </c>
      <c r="W29" s="221">
        <v>517</v>
      </c>
      <c r="X29" s="221">
        <v>-4479</v>
      </c>
      <c r="Y29" s="221">
        <v>4987</v>
      </c>
      <c r="Z29" s="215">
        <v>3817</v>
      </c>
      <c r="AA29" s="215">
        <v>1991</v>
      </c>
      <c r="AB29" s="215">
        <v>7497</v>
      </c>
      <c r="AC29" s="397">
        <f t="shared" ref="AC29" si="10">SUM(AC27:AC28)</f>
        <v>8431</v>
      </c>
    </row>
    <row r="30" spans="2:30" ht="3.75" customHeight="1" x14ac:dyDescent="0.2">
      <c r="B30" s="45"/>
      <c r="D30" s="214"/>
      <c r="E30" s="207"/>
      <c r="F30" s="207"/>
      <c r="G30" s="207"/>
      <c r="H30" s="208"/>
      <c r="I30" s="208"/>
      <c r="J30" s="208"/>
      <c r="K30" s="390"/>
      <c r="M30" s="209"/>
      <c r="N30" s="216"/>
      <c r="O30" s="216"/>
      <c r="P30" s="209"/>
      <c r="Q30" s="209"/>
      <c r="R30" s="100"/>
      <c r="S30" s="365"/>
      <c r="T30" s="752"/>
      <c r="U30" s="65"/>
      <c r="V30" s="214"/>
      <c r="W30" s="207"/>
      <c r="X30" s="207"/>
      <c r="Y30" s="207"/>
      <c r="Z30" s="208"/>
      <c r="AA30" s="208"/>
      <c r="AB30" s="208"/>
      <c r="AC30" s="390"/>
    </row>
    <row r="31" spans="2:30" ht="12.75" customHeight="1" x14ac:dyDescent="0.2">
      <c r="B31" s="45" t="s">
        <v>156</v>
      </c>
      <c r="D31" s="206"/>
      <c r="E31" s="207"/>
      <c r="F31" s="207"/>
      <c r="G31" s="207"/>
      <c r="H31" s="208"/>
      <c r="I31" s="208"/>
      <c r="J31" s="208"/>
      <c r="K31" s="390"/>
      <c r="M31" s="209"/>
      <c r="N31" s="111"/>
      <c r="O31" s="111"/>
      <c r="P31" s="209"/>
      <c r="Q31" s="209"/>
      <c r="R31" s="100"/>
      <c r="S31" s="365"/>
      <c r="T31" s="752"/>
      <c r="U31" s="65"/>
      <c r="V31" s="206"/>
      <c r="W31" s="207"/>
      <c r="X31" s="207"/>
      <c r="Y31" s="207"/>
      <c r="Z31" s="208"/>
      <c r="AA31" s="208"/>
      <c r="AB31" s="208"/>
      <c r="AC31" s="390"/>
    </row>
    <row r="32" spans="2:30" s="10" customFormat="1" ht="13.5" customHeight="1" x14ac:dyDescent="0.2">
      <c r="B32" s="21"/>
      <c r="C32" s="10" t="s">
        <v>148</v>
      </c>
      <c r="D32" s="206">
        <v>18352</v>
      </c>
      <c r="E32" s="218">
        <v>18713</v>
      </c>
      <c r="F32" s="218">
        <v>18928</v>
      </c>
      <c r="G32" s="218">
        <v>19157</v>
      </c>
      <c r="H32" s="135">
        <v>19289</v>
      </c>
      <c r="I32" s="135">
        <v>19602</v>
      </c>
      <c r="J32" s="135">
        <v>19667</v>
      </c>
      <c r="K32" s="388">
        <v>19754</v>
      </c>
      <c r="L32" s="380"/>
      <c r="M32" s="111">
        <v>0.65965562336530081</v>
      </c>
      <c r="N32" s="111">
        <v>0.65393042270079627</v>
      </c>
      <c r="O32" s="111">
        <v>0.6513102282333052</v>
      </c>
      <c r="P32" s="111">
        <v>0.64597797149866887</v>
      </c>
      <c r="Q32" s="111">
        <v>0.64000207372077345</v>
      </c>
      <c r="R32" s="219">
        <v>0.63493521069278647</v>
      </c>
      <c r="S32" s="219">
        <v>0.63110794732292674</v>
      </c>
      <c r="T32" s="755">
        <v>0.623</v>
      </c>
      <c r="V32" s="206">
        <v>105</v>
      </c>
      <c r="W32" s="218">
        <v>361</v>
      </c>
      <c r="X32" s="218">
        <v>215</v>
      </c>
      <c r="Y32" s="218">
        <v>229</v>
      </c>
      <c r="Z32" s="135">
        <v>132</v>
      </c>
      <c r="AA32" s="135">
        <v>313</v>
      </c>
      <c r="AB32" s="135">
        <v>65</v>
      </c>
      <c r="AC32" s="388">
        <f t="shared" ref="AC32:AC38" si="11">+K32-J32</f>
        <v>87</v>
      </c>
      <c r="AD32" s="380"/>
    </row>
    <row r="33" spans="2:29" ht="13.5" customHeight="1" x14ac:dyDescent="0.2">
      <c r="B33" s="65"/>
      <c r="C33" s="10" t="s">
        <v>439</v>
      </c>
      <c r="D33" s="206">
        <v>3251</v>
      </c>
      <c r="E33" s="207">
        <v>3174</v>
      </c>
      <c r="F33" s="207">
        <v>3110</v>
      </c>
      <c r="G33" s="207">
        <v>3002</v>
      </c>
      <c r="H33" s="208">
        <v>2807</v>
      </c>
      <c r="I33" s="208">
        <v>2515</v>
      </c>
      <c r="J33" s="208">
        <v>2504</v>
      </c>
      <c r="K33" s="390">
        <v>2482</v>
      </c>
      <c r="M33" s="209">
        <v>0.37619194094124886</v>
      </c>
      <c r="N33" s="111">
        <v>0.37460617517328293</v>
      </c>
      <c r="O33" s="111">
        <v>0.37813504823151123</v>
      </c>
      <c r="P33" s="209">
        <v>0.37308461025982675</v>
      </c>
      <c r="Q33" s="209">
        <v>0.37335233345208407</v>
      </c>
      <c r="R33" s="100">
        <v>0.38369781312127238</v>
      </c>
      <c r="S33" s="365">
        <v>0.38378594249201275</v>
      </c>
      <c r="T33" s="752">
        <v>0.38100000000000001</v>
      </c>
      <c r="U33" s="65"/>
      <c r="V33" s="206">
        <v>-47</v>
      </c>
      <c r="W33" s="207">
        <v>-77</v>
      </c>
      <c r="X33" s="207">
        <v>-64</v>
      </c>
      <c r="Y33" s="207">
        <v>-108</v>
      </c>
      <c r="Z33" s="208">
        <v>-195</v>
      </c>
      <c r="AA33" s="208">
        <v>-171</v>
      </c>
      <c r="AB33" s="208">
        <v>-11</v>
      </c>
      <c r="AC33" s="390">
        <f t="shared" si="11"/>
        <v>-22</v>
      </c>
    </row>
    <row r="34" spans="2:29" ht="13.5" customHeight="1" x14ac:dyDescent="0.2">
      <c r="B34" s="45"/>
      <c r="C34" s="65" t="s">
        <v>157</v>
      </c>
      <c r="D34" s="206">
        <v>37498</v>
      </c>
      <c r="E34" s="207">
        <v>38271</v>
      </c>
      <c r="F34" s="207">
        <v>40000</v>
      </c>
      <c r="G34" s="207">
        <v>38070</v>
      </c>
      <c r="H34" s="208">
        <v>40393</v>
      </c>
      <c r="I34" s="208">
        <v>41302</v>
      </c>
      <c r="J34" s="208">
        <v>41691</v>
      </c>
      <c r="K34" s="390">
        <v>41847</v>
      </c>
      <c r="M34" s="209">
        <v>0.95239746119793056</v>
      </c>
      <c r="N34" s="111">
        <v>0.94089519479501449</v>
      </c>
      <c r="O34" s="111">
        <v>0.93340000000000001</v>
      </c>
      <c r="P34" s="209">
        <v>0.92012083004990808</v>
      </c>
      <c r="Q34" s="209">
        <v>0.91290570148293027</v>
      </c>
      <c r="R34" s="100">
        <v>0.90881797491646898</v>
      </c>
      <c r="S34" s="365">
        <v>0.89623659782686915</v>
      </c>
      <c r="T34" s="752">
        <v>0.88600000000000001</v>
      </c>
      <c r="U34" s="65"/>
      <c r="V34" s="206">
        <v>443</v>
      </c>
      <c r="W34" s="207">
        <v>773</v>
      </c>
      <c r="X34" s="207">
        <v>1729</v>
      </c>
      <c r="Y34" s="207">
        <v>-1930</v>
      </c>
      <c r="Z34" s="208">
        <v>2323</v>
      </c>
      <c r="AA34" s="208">
        <v>909</v>
      </c>
      <c r="AB34" s="208">
        <v>389</v>
      </c>
      <c r="AC34" s="390">
        <f t="shared" si="11"/>
        <v>156</v>
      </c>
    </row>
    <row r="35" spans="2:29" ht="13.5" customHeight="1" x14ac:dyDescent="0.2">
      <c r="B35" s="45"/>
      <c r="C35" s="65" t="s">
        <v>159</v>
      </c>
      <c r="D35" s="206">
        <v>2370</v>
      </c>
      <c r="E35" s="207">
        <v>2320</v>
      </c>
      <c r="F35" s="207">
        <v>2314</v>
      </c>
      <c r="G35" s="207">
        <v>2307</v>
      </c>
      <c r="H35" s="208">
        <v>2326</v>
      </c>
      <c r="I35" s="208">
        <v>2299</v>
      </c>
      <c r="J35" s="208">
        <v>2315</v>
      </c>
      <c r="K35" s="390">
        <v>2336</v>
      </c>
      <c r="M35" s="209">
        <v>0.66497890295358653</v>
      </c>
      <c r="N35" s="111">
        <v>0.66163793103448276</v>
      </c>
      <c r="O35" s="111">
        <v>0.66594641313742442</v>
      </c>
      <c r="P35" s="209">
        <v>0.66666666666666663</v>
      </c>
      <c r="Q35" s="209">
        <v>0.64445399828030958</v>
      </c>
      <c r="R35" s="100">
        <v>0.6415832970856894</v>
      </c>
      <c r="S35" s="365">
        <v>0.64276457883369331</v>
      </c>
      <c r="T35" s="752">
        <v>0.64800000000000002</v>
      </c>
      <c r="U35" s="65"/>
      <c r="V35" s="206">
        <v>-41</v>
      </c>
      <c r="W35" s="207">
        <v>-50</v>
      </c>
      <c r="X35" s="207">
        <v>-6</v>
      </c>
      <c r="Y35" s="207">
        <v>-7</v>
      </c>
      <c r="Z35" s="208">
        <v>19</v>
      </c>
      <c r="AA35" s="208">
        <v>-27</v>
      </c>
      <c r="AB35" s="208">
        <v>16</v>
      </c>
      <c r="AC35" s="390">
        <f t="shared" si="11"/>
        <v>21</v>
      </c>
    </row>
    <row r="36" spans="2:29" ht="13.5" customHeight="1" x14ac:dyDescent="0.2">
      <c r="B36" s="45"/>
      <c r="C36" s="65" t="s">
        <v>196</v>
      </c>
      <c r="D36" s="206">
        <v>878</v>
      </c>
      <c r="E36" s="207">
        <v>936</v>
      </c>
      <c r="F36" s="207">
        <v>1005</v>
      </c>
      <c r="G36" s="207">
        <v>1084</v>
      </c>
      <c r="H36" s="208">
        <v>1146</v>
      </c>
      <c r="I36" s="208">
        <v>1188</v>
      </c>
      <c r="J36" s="208">
        <v>1273</v>
      </c>
      <c r="K36" s="390">
        <v>1327</v>
      </c>
      <c r="M36" s="209">
        <v>0.97722095671981779</v>
      </c>
      <c r="N36" s="111">
        <v>0.96474358974358976</v>
      </c>
      <c r="O36" s="111">
        <v>0.94328358208955221</v>
      </c>
      <c r="P36" s="209">
        <v>0.92435424354243545</v>
      </c>
      <c r="Q36" s="209">
        <v>0.91448516579406636</v>
      </c>
      <c r="R36" s="365">
        <v>0.91245791245791241</v>
      </c>
      <c r="S36" s="365">
        <v>0.90416339355852315</v>
      </c>
      <c r="T36" s="752">
        <v>0.90400000000000003</v>
      </c>
      <c r="U36" s="65"/>
      <c r="V36" s="206">
        <v>41</v>
      </c>
      <c r="W36" s="207">
        <v>58</v>
      </c>
      <c r="X36" s="207">
        <v>69</v>
      </c>
      <c r="Y36" s="207">
        <v>79</v>
      </c>
      <c r="Z36" s="208">
        <v>62</v>
      </c>
      <c r="AA36" s="208">
        <v>42</v>
      </c>
      <c r="AB36" s="208">
        <v>85</v>
      </c>
      <c r="AC36" s="390">
        <f t="shared" si="11"/>
        <v>54</v>
      </c>
    </row>
    <row r="37" spans="2:29" ht="13.5" customHeight="1" x14ac:dyDescent="0.2">
      <c r="B37" s="45"/>
      <c r="C37" s="65" t="s">
        <v>158</v>
      </c>
      <c r="D37" s="206">
        <v>4809</v>
      </c>
      <c r="E37" s="207">
        <v>4992</v>
      </c>
      <c r="F37" s="207">
        <v>5224</v>
      </c>
      <c r="G37" s="207">
        <v>5609</v>
      </c>
      <c r="H37" s="208">
        <v>5749</v>
      </c>
      <c r="I37" s="208">
        <v>5823</v>
      </c>
      <c r="J37" s="208">
        <v>6049</v>
      </c>
      <c r="K37" s="390">
        <v>6480</v>
      </c>
      <c r="M37" s="209">
        <v>0.99563318777292575</v>
      </c>
      <c r="N37" s="111">
        <v>0.99459134615384615</v>
      </c>
      <c r="O37" s="111">
        <v>0.99387442572741191</v>
      </c>
      <c r="P37" s="209">
        <v>0.99536459261900512</v>
      </c>
      <c r="Q37" s="209">
        <v>0.99652113411028009</v>
      </c>
      <c r="R37" s="100">
        <v>0.99570668040528942</v>
      </c>
      <c r="S37" s="365">
        <v>0.99619771863117867</v>
      </c>
      <c r="T37" s="752">
        <v>0.996</v>
      </c>
      <c r="U37" s="65"/>
      <c r="V37" s="206">
        <v>284</v>
      </c>
      <c r="W37" s="207">
        <v>183</v>
      </c>
      <c r="X37" s="207">
        <v>232</v>
      </c>
      <c r="Y37" s="207">
        <v>385</v>
      </c>
      <c r="Z37" s="208">
        <v>140</v>
      </c>
      <c r="AA37" s="208">
        <v>74</v>
      </c>
      <c r="AB37" s="208">
        <v>226</v>
      </c>
      <c r="AC37" s="390">
        <f t="shared" si="11"/>
        <v>431</v>
      </c>
    </row>
    <row r="38" spans="2:29" ht="13.5" customHeight="1" x14ac:dyDescent="0.2">
      <c r="B38" s="45"/>
      <c r="C38" s="396" t="s">
        <v>195</v>
      </c>
      <c r="D38" s="210">
        <v>313</v>
      </c>
      <c r="E38" s="211">
        <v>326</v>
      </c>
      <c r="F38" s="211">
        <v>338</v>
      </c>
      <c r="G38" s="211">
        <v>340</v>
      </c>
      <c r="H38" s="134">
        <v>338</v>
      </c>
      <c r="I38" s="134">
        <v>352</v>
      </c>
      <c r="J38" s="134">
        <v>380</v>
      </c>
      <c r="K38" s="740">
        <v>365</v>
      </c>
      <c r="M38" s="212">
        <v>0.94888178913738019</v>
      </c>
      <c r="N38" s="212">
        <v>0.95092024539877296</v>
      </c>
      <c r="O38" s="212">
        <v>0.94970414201183428</v>
      </c>
      <c r="P38" s="212">
        <v>0.94705882352941173</v>
      </c>
      <c r="Q38" s="212">
        <v>0.94674556213017746</v>
      </c>
      <c r="R38" s="213">
        <v>0.94602272727272729</v>
      </c>
      <c r="S38" s="213">
        <v>0.94736842105263153</v>
      </c>
      <c r="T38" s="753">
        <v>0.94499999999999995</v>
      </c>
      <c r="U38" s="65"/>
      <c r="V38" s="210">
        <v>3</v>
      </c>
      <c r="W38" s="211">
        <v>13</v>
      </c>
      <c r="X38" s="211">
        <v>12</v>
      </c>
      <c r="Y38" s="211">
        <v>2</v>
      </c>
      <c r="Z38" s="134">
        <v>-2</v>
      </c>
      <c r="AA38" s="134">
        <v>14</v>
      </c>
      <c r="AB38" s="134">
        <v>28</v>
      </c>
      <c r="AC38" s="740">
        <f t="shared" si="11"/>
        <v>-15</v>
      </c>
    </row>
    <row r="39" spans="2:29" ht="12.75" customHeight="1" x14ac:dyDescent="0.2">
      <c r="B39" s="45"/>
      <c r="C39" s="82" t="s">
        <v>22</v>
      </c>
      <c r="D39" s="214">
        <v>67471</v>
      </c>
      <c r="E39" s="221">
        <v>68732</v>
      </c>
      <c r="F39" s="221">
        <v>70919</v>
      </c>
      <c r="G39" s="221">
        <v>69569</v>
      </c>
      <c r="H39" s="215">
        <v>72048</v>
      </c>
      <c r="I39" s="215">
        <v>73081</v>
      </c>
      <c r="J39" s="215">
        <v>73879</v>
      </c>
      <c r="K39" s="397">
        <f t="shared" ref="K39" si="12">SUM(K32:K38)</f>
        <v>74591</v>
      </c>
      <c r="M39" s="216">
        <v>0.8176584844049094</v>
      </c>
      <c r="N39" s="216">
        <v>0.8119454633538653</v>
      </c>
      <c r="O39" s="216">
        <v>0.81139000551216034</v>
      </c>
      <c r="P39" s="216">
        <v>0.80115186835790198</v>
      </c>
      <c r="Q39" s="216">
        <v>0.80105575278896912</v>
      </c>
      <c r="R39" s="217">
        <v>0.80234854269239886</v>
      </c>
      <c r="S39" s="217">
        <v>0.79577749124109454</v>
      </c>
      <c r="T39" s="754">
        <v>0.78900000000000003</v>
      </c>
      <c r="U39" s="65"/>
      <c r="V39" s="214">
        <v>788</v>
      </c>
      <c r="W39" s="221">
        <v>1261</v>
      </c>
      <c r="X39" s="221">
        <v>2187</v>
      </c>
      <c r="Y39" s="221">
        <v>-1350</v>
      </c>
      <c r="Z39" s="215">
        <v>2479</v>
      </c>
      <c r="AA39" s="215">
        <v>1154</v>
      </c>
      <c r="AB39" s="215">
        <v>798</v>
      </c>
      <c r="AC39" s="397">
        <f t="shared" ref="AC39" si="13">SUM(AC32:AC38)</f>
        <v>712</v>
      </c>
    </row>
    <row r="40" spans="2:29" ht="3.75" customHeight="1" x14ac:dyDescent="0.2">
      <c r="B40" s="45"/>
      <c r="D40" s="206"/>
      <c r="E40" s="206"/>
      <c r="F40" s="206"/>
      <c r="G40" s="206"/>
      <c r="H40" s="206"/>
      <c r="I40" s="206"/>
      <c r="J40" s="206"/>
      <c r="K40" s="399"/>
      <c r="M40" s="209"/>
      <c r="N40" s="111"/>
      <c r="O40" s="111"/>
      <c r="P40" s="209"/>
      <c r="Q40" s="209"/>
      <c r="R40" s="100"/>
      <c r="S40" s="365"/>
      <c r="T40" s="752"/>
      <c r="U40" s="65"/>
      <c r="V40" s="206"/>
      <c r="W40" s="206"/>
      <c r="X40" s="206"/>
      <c r="Y40" s="206"/>
      <c r="Z40" s="206"/>
      <c r="AA40" s="206"/>
      <c r="AB40" s="206"/>
      <c r="AC40" s="399"/>
    </row>
    <row r="41" spans="2:29" s="45" customFormat="1" ht="12.75" customHeight="1" x14ac:dyDescent="0.2">
      <c r="B41" s="45" t="s">
        <v>16</v>
      </c>
      <c r="D41" s="222">
        <v>277811</v>
      </c>
      <c r="E41" s="222">
        <v>279589</v>
      </c>
      <c r="F41" s="222">
        <v>277297</v>
      </c>
      <c r="G41" s="222">
        <v>280934</v>
      </c>
      <c r="H41" s="222">
        <v>286071</v>
      </c>
      <c r="I41" s="222">
        <v>289095</v>
      </c>
      <c r="J41" s="222">
        <v>297390</v>
      </c>
      <c r="K41" s="400">
        <f t="shared" ref="K41" si="14">+K39+K29</f>
        <v>306533</v>
      </c>
      <c r="M41" s="224">
        <v>0.9059483702219</v>
      </c>
      <c r="N41" s="224">
        <v>0.9030879329711553</v>
      </c>
      <c r="O41" s="224">
        <v>0.89929441264572108</v>
      </c>
      <c r="P41" s="224">
        <v>0.89727742797847265</v>
      </c>
      <c r="Q41" s="224">
        <v>0.8998167548317948</v>
      </c>
      <c r="R41" s="225">
        <v>0.89865262898320408</v>
      </c>
      <c r="S41" s="225">
        <v>0.89738253022078662</v>
      </c>
      <c r="T41" s="756">
        <v>0.89700000000000002</v>
      </c>
      <c r="V41" s="222">
        <v>7868</v>
      </c>
      <c r="W41" s="222">
        <v>1778</v>
      </c>
      <c r="X41" s="222">
        <v>-2292</v>
      </c>
      <c r="Y41" s="222">
        <v>3637</v>
      </c>
      <c r="Z41" s="222">
        <v>6296</v>
      </c>
      <c r="AA41" s="222">
        <v>3145</v>
      </c>
      <c r="AB41" s="222">
        <v>8295</v>
      </c>
      <c r="AC41" s="400">
        <f t="shared" ref="AC41" si="15">+AC39+AC29</f>
        <v>9143</v>
      </c>
    </row>
    <row r="42" spans="2:29" ht="3.95" customHeight="1" x14ac:dyDescent="0.2">
      <c r="B42" s="45"/>
      <c r="D42" s="206"/>
      <c r="E42" s="206"/>
      <c r="F42" s="206"/>
      <c r="G42" s="206"/>
      <c r="H42" s="206"/>
      <c r="I42" s="206"/>
      <c r="J42" s="206"/>
      <c r="K42" s="399"/>
      <c r="M42" s="111"/>
      <c r="N42" s="111"/>
      <c r="O42" s="111"/>
      <c r="P42" s="111"/>
      <c r="Q42" s="111"/>
      <c r="R42" s="219"/>
      <c r="S42" s="219"/>
      <c r="T42" s="755"/>
      <c r="U42" s="65"/>
      <c r="V42" s="206"/>
      <c r="W42" s="206"/>
      <c r="X42" s="206"/>
      <c r="Y42" s="206"/>
      <c r="Z42" s="206"/>
      <c r="AA42" s="206"/>
      <c r="AB42" s="206"/>
      <c r="AC42" s="399"/>
    </row>
    <row r="43" spans="2:29" s="45" customFormat="1" ht="12.75" customHeight="1" thickBot="1" x14ac:dyDescent="0.25">
      <c r="B43" s="45" t="s">
        <v>137</v>
      </c>
      <c r="D43" s="230">
        <v>406407</v>
      </c>
      <c r="E43" s="230">
        <v>407354</v>
      </c>
      <c r="F43" s="230">
        <v>403313</v>
      </c>
      <c r="G43" s="230">
        <v>403875</v>
      </c>
      <c r="H43" s="230">
        <v>408577</v>
      </c>
      <c r="I43" s="230">
        <v>411456</v>
      </c>
      <c r="J43" s="230">
        <v>419404</v>
      </c>
      <c r="K43" s="401">
        <f t="shared" ref="K43" si="16">+K41+K24</f>
        <v>433681</v>
      </c>
      <c r="M43" s="231">
        <v>0.80370885711543993</v>
      </c>
      <c r="N43" s="231">
        <v>0.80149720381506873</v>
      </c>
      <c r="O43" s="231">
        <v>0.79725805476636646</v>
      </c>
      <c r="P43" s="231">
        <v>0.79551822758147583</v>
      </c>
      <c r="Q43" s="231">
        <v>0.79823689379782348</v>
      </c>
      <c r="R43" s="232">
        <v>0.7981430193393918</v>
      </c>
      <c r="S43" s="232">
        <v>0.79803446105061904</v>
      </c>
      <c r="T43" s="757">
        <v>0.79900000000000004</v>
      </c>
      <c r="V43" s="230">
        <v>6223</v>
      </c>
      <c r="W43" s="230">
        <v>947</v>
      </c>
      <c r="X43" s="230">
        <v>-4041</v>
      </c>
      <c r="Y43" s="230">
        <v>893</v>
      </c>
      <c r="Z43" s="230">
        <v>5861</v>
      </c>
      <c r="AA43" s="230">
        <v>3335</v>
      </c>
      <c r="AB43" s="230">
        <v>7948</v>
      </c>
      <c r="AC43" s="401">
        <f t="shared" ref="AC43" si="17">+AC41+AC24</f>
        <v>7788</v>
      </c>
    </row>
    <row r="44" spans="2:29" s="45" customFormat="1" ht="4.5" customHeight="1" thickTop="1" x14ac:dyDescent="0.2">
      <c r="D44" s="206"/>
      <c r="E44" s="206"/>
      <c r="F44" s="207"/>
      <c r="G44" s="207"/>
      <c r="H44" s="207"/>
      <c r="I44" s="207"/>
      <c r="J44" s="207"/>
      <c r="K44" s="132"/>
      <c r="M44" s="219"/>
      <c r="N44" s="219"/>
      <c r="O44" s="100"/>
      <c r="P44" s="100"/>
      <c r="Q44" s="219"/>
      <c r="R44" s="219"/>
      <c r="S44" s="219"/>
      <c r="T44" s="220"/>
      <c r="V44" s="206"/>
      <c r="W44" s="206"/>
      <c r="X44" s="207"/>
      <c r="Y44" s="207"/>
      <c r="Z44" s="207"/>
      <c r="AA44" s="207"/>
      <c r="AB44" s="207"/>
      <c r="AC44" s="132"/>
    </row>
    <row r="45" spans="2:29" ht="12.75" customHeight="1" x14ac:dyDescent="0.2">
      <c r="B45" s="45"/>
      <c r="D45" s="206"/>
      <c r="E45" s="206"/>
      <c r="F45" s="206"/>
      <c r="G45" s="206"/>
      <c r="H45" s="206"/>
      <c r="I45" s="206"/>
      <c r="J45" s="206"/>
      <c r="K45" s="206"/>
      <c r="M45" s="219"/>
      <c r="N45" s="219"/>
      <c r="O45" s="219"/>
      <c r="P45" s="219"/>
      <c r="Q45" s="219"/>
      <c r="R45" s="219"/>
      <c r="S45" s="100"/>
      <c r="T45" s="209"/>
      <c r="U45" s="65"/>
      <c r="V45" s="206"/>
      <c r="W45" s="206"/>
      <c r="X45" s="206"/>
      <c r="Y45" s="206"/>
      <c r="Z45" s="206"/>
      <c r="AA45" s="206"/>
      <c r="AB45" s="206"/>
      <c r="AC45" s="206"/>
    </row>
    <row r="46" spans="2:29" s="45" customFormat="1" ht="3.95" customHeight="1" x14ac:dyDescent="0.2">
      <c r="B46" s="21"/>
      <c r="D46" s="233"/>
      <c r="E46" s="233"/>
      <c r="F46" s="233"/>
      <c r="G46" s="233"/>
      <c r="H46" s="233"/>
      <c r="I46" s="233"/>
      <c r="J46" s="233"/>
      <c r="K46" s="234"/>
      <c r="M46" s="235"/>
      <c r="N46" s="235"/>
      <c r="O46" s="235"/>
      <c r="P46" s="235"/>
      <c r="Q46" s="235"/>
      <c r="R46" s="236"/>
      <c r="S46" s="236"/>
      <c r="T46" s="235"/>
      <c r="V46" s="233"/>
      <c r="W46" s="233"/>
      <c r="X46" s="233"/>
      <c r="Y46" s="233"/>
      <c r="Z46" s="233"/>
      <c r="AA46" s="233"/>
      <c r="AB46" s="233"/>
      <c r="AC46" s="234"/>
    </row>
    <row r="47" spans="2:29" s="45" customFormat="1" ht="12.75" customHeight="1" x14ac:dyDescent="0.2">
      <c r="B47" s="10" t="s">
        <v>40</v>
      </c>
      <c r="D47" s="233"/>
      <c r="E47" s="233"/>
      <c r="F47" s="233"/>
      <c r="G47" s="233"/>
      <c r="H47" s="233"/>
      <c r="I47" s="233"/>
      <c r="J47" s="233"/>
      <c r="K47" s="234"/>
      <c r="M47" s="235"/>
      <c r="N47" s="235"/>
      <c r="O47" s="235"/>
      <c r="P47" s="235"/>
      <c r="Q47" s="235"/>
      <c r="R47" s="236"/>
      <c r="S47" s="236"/>
      <c r="T47" s="235"/>
      <c r="V47" s="233"/>
      <c r="W47" s="233"/>
      <c r="X47" s="233"/>
      <c r="Y47" s="233"/>
      <c r="Z47" s="233"/>
      <c r="AA47" s="233"/>
      <c r="AB47" s="233"/>
      <c r="AC47" s="234"/>
    </row>
    <row r="48" spans="2:29" s="243" customFormat="1" ht="12.75" customHeight="1" x14ac:dyDescent="0.2">
      <c r="B48" s="165" t="s">
        <v>41</v>
      </c>
      <c r="C48" s="283" t="s">
        <v>160</v>
      </c>
      <c r="D48" s="233"/>
      <c r="E48" s="233"/>
      <c r="F48" s="233"/>
      <c r="G48" s="233"/>
      <c r="H48" s="233"/>
      <c r="I48" s="233"/>
      <c r="J48" s="233"/>
      <c r="K48" s="237"/>
      <c r="M48" s="235"/>
      <c r="N48" s="235"/>
      <c r="O48" s="235"/>
      <c r="P48" s="235"/>
      <c r="Q48" s="235"/>
      <c r="R48" s="236"/>
      <c r="S48" s="236"/>
      <c r="T48" s="235"/>
      <c r="V48" s="233"/>
      <c r="W48" s="233"/>
      <c r="X48" s="233"/>
      <c r="Y48" s="233"/>
      <c r="Z48" s="233"/>
      <c r="AA48" s="233"/>
      <c r="AB48" s="233"/>
      <c r="AC48" s="237"/>
    </row>
    <row r="49" spans="2:30" s="242" customFormat="1" x14ac:dyDescent="0.2">
      <c r="B49" s="165" t="s">
        <v>43</v>
      </c>
      <c r="C49" s="770" t="s">
        <v>443</v>
      </c>
      <c r="D49" s="240"/>
      <c r="E49" s="240"/>
      <c r="F49" s="240"/>
      <c r="G49" s="240"/>
      <c r="H49" s="240"/>
      <c r="I49" s="240"/>
      <c r="J49" s="240"/>
      <c r="K49" s="240"/>
      <c r="L49" s="240"/>
      <c r="M49" s="240"/>
      <c r="N49" s="240"/>
      <c r="O49" s="240"/>
      <c r="P49" s="240"/>
      <c r="Q49" s="240"/>
      <c r="R49" s="243"/>
      <c r="S49" s="243"/>
      <c r="V49" s="238"/>
      <c r="X49" s="238"/>
      <c r="Y49" s="238"/>
      <c r="Z49" s="238"/>
      <c r="AA49" s="238"/>
      <c r="AB49" s="238"/>
      <c r="AC49" s="239"/>
    </row>
    <row r="50" spans="2:30" s="242" customFormat="1" ht="12.75" customHeight="1" x14ac:dyDescent="0.2">
      <c r="B50" s="165" t="s">
        <v>124</v>
      </c>
      <c r="C50" s="770" t="s">
        <v>161</v>
      </c>
      <c r="D50" s="240"/>
      <c r="E50" s="240"/>
      <c r="F50" s="240"/>
      <c r="G50" s="240"/>
      <c r="H50" s="240"/>
      <c r="I50" s="240"/>
      <c r="J50" s="240"/>
      <c r="K50" s="240"/>
      <c r="L50" s="240"/>
      <c r="M50" s="240"/>
      <c r="N50" s="240"/>
      <c r="O50" s="240"/>
      <c r="P50" s="240"/>
      <c r="Q50" s="240"/>
      <c r="R50" s="243"/>
      <c r="S50" s="243"/>
      <c r="V50" s="238"/>
      <c r="X50" s="238"/>
      <c r="Y50" s="238"/>
      <c r="Z50" s="238"/>
      <c r="AA50" s="238"/>
      <c r="AB50" s="240"/>
      <c r="AC50" s="240"/>
    </row>
    <row r="51" spans="2:30" s="242" customFormat="1" ht="12.75" customHeight="1" x14ac:dyDescent="0.2">
      <c r="B51" s="165" t="s">
        <v>139</v>
      </c>
      <c r="C51" s="770" t="s">
        <v>440</v>
      </c>
      <c r="D51" s="240"/>
      <c r="E51" s="240"/>
      <c r="F51" s="240"/>
      <c r="G51" s="240"/>
      <c r="H51" s="240"/>
      <c r="I51" s="240"/>
      <c r="J51" s="240"/>
      <c r="K51" s="240"/>
      <c r="L51" s="240"/>
      <c r="M51" s="240"/>
      <c r="N51" s="240"/>
      <c r="O51" s="240"/>
      <c r="P51" s="240"/>
      <c r="R51" s="243"/>
      <c r="S51" s="243"/>
      <c r="V51" s="238"/>
      <c r="X51" s="238"/>
      <c r="Y51" s="238"/>
      <c r="Z51" s="238"/>
      <c r="AA51" s="238"/>
      <c r="AB51" s="238"/>
      <c r="AC51" s="239"/>
    </row>
    <row r="52" spans="2:30" s="242" customFormat="1" ht="12.75" customHeight="1" x14ac:dyDescent="0.2">
      <c r="B52" s="165" t="s">
        <v>140</v>
      </c>
      <c r="C52" s="770" t="s">
        <v>162</v>
      </c>
      <c r="D52" s="240"/>
      <c r="E52" s="240"/>
      <c r="F52" s="240"/>
      <c r="G52" s="240"/>
      <c r="H52" s="240"/>
      <c r="I52" s="240"/>
      <c r="J52" s="240"/>
      <c r="K52" s="240"/>
      <c r="L52" s="240"/>
      <c r="M52" s="240"/>
      <c r="N52" s="240"/>
      <c r="O52" s="240"/>
      <c r="P52" s="240"/>
      <c r="R52" s="243"/>
      <c r="S52" s="243"/>
      <c r="V52" s="238"/>
      <c r="X52" s="238"/>
      <c r="Y52" s="238"/>
      <c r="Z52" s="238"/>
      <c r="AA52" s="238"/>
      <c r="AB52" s="238"/>
      <c r="AC52" s="239"/>
    </row>
    <row r="53" spans="2:30" s="242" customFormat="1" x14ac:dyDescent="0.2">
      <c r="B53" s="165" t="s">
        <v>163</v>
      </c>
      <c r="C53" s="770" t="s">
        <v>164</v>
      </c>
      <c r="D53" s="240"/>
      <c r="E53" s="240"/>
      <c r="F53" s="240"/>
      <c r="G53" s="240"/>
      <c r="H53" s="240"/>
      <c r="I53" s="240"/>
      <c r="J53" s="240"/>
      <c r="K53" s="240"/>
      <c r="L53" s="240"/>
      <c r="M53" s="240"/>
      <c r="N53" s="240"/>
      <c r="O53" s="240"/>
      <c r="P53" s="240"/>
      <c r="R53" s="243"/>
      <c r="S53" s="243"/>
      <c r="X53" s="238"/>
      <c r="Y53" s="238"/>
      <c r="Z53" s="238"/>
      <c r="AB53" s="238"/>
      <c r="AC53" s="243"/>
    </row>
    <row r="54" spans="2:30" s="767" customFormat="1" ht="12.75" customHeight="1" x14ac:dyDescent="0.2">
      <c r="B54" s="165" t="s">
        <v>165</v>
      </c>
      <c r="C54" s="770" t="s">
        <v>166</v>
      </c>
      <c r="D54" s="240"/>
      <c r="E54" s="240"/>
      <c r="F54" s="240"/>
      <c r="G54" s="240"/>
      <c r="H54" s="240"/>
      <c r="I54" s="240"/>
      <c r="J54" s="240"/>
      <c r="K54" s="240"/>
      <c r="L54" s="240"/>
      <c r="M54" s="240"/>
      <c r="N54" s="240"/>
      <c r="O54" s="240"/>
      <c r="P54" s="240"/>
      <c r="Q54" s="240"/>
      <c r="R54" s="768"/>
      <c r="S54" s="768"/>
      <c r="W54" s="242"/>
      <c r="X54" s="242"/>
      <c r="Y54" s="242"/>
      <c r="Z54" s="242"/>
      <c r="AB54" s="242"/>
      <c r="AC54" s="768"/>
    </row>
    <row r="55" spans="2:30" s="767" customFormat="1" ht="12.75" customHeight="1" x14ac:dyDescent="0.2">
      <c r="B55" s="165" t="s">
        <v>167</v>
      </c>
      <c r="C55" s="770" t="s">
        <v>168</v>
      </c>
      <c r="D55" s="327"/>
      <c r="E55" s="327"/>
      <c r="F55" s="327"/>
      <c r="G55" s="327"/>
      <c r="H55" s="327"/>
      <c r="I55" s="327"/>
      <c r="J55" s="327"/>
      <c r="K55" s="327"/>
      <c r="L55" s="327"/>
      <c r="M55" s="327"/>
      <c r="N55" s="327"/>
      <c r="O55" s="327"/>
      <c r="Q55" s="242"/>
      <c r="R55" s="768"/>
      <c r="S55" s="768"/>
      <c r="AC55" s="768"/>
    </row>
    <row r="56" spans="2:30" s="10" customFormat="1" ht="12.75" customHeight="1" x14ac:dyDescent="0.2">
      <c r="B56" s="165"/>
      <c r="C56" s="829"/>
      <c r="D56" s="854"/>
      <c r="E56" s="854"/>
      <c r="F56" s="854"/>
      <c r="G56" s="854"/>
      <c r="H56" s="854"/>
      <c r="I56" s="854"/>
      <c r="J56" s="854"/>
      <c r="K56" s="854"/>
      <c r="L56" s="854"/>
      <c r="M56" s="854"/>
      <c r="N56" s="854"/>
      <c r="O56" s="854"/>
      <c r="Q56" s="59"/>
      <c r="R56" s="24"/>
      <c r="S56" s="24"/>
      <c r="T56" s="59"/>
      <c r="U56" s="59"/>
      <c r="V56" s="379"/>
      <c r="W56" s="379"/>
      <c r="X56" s="380"/>
      <c r="Y56" s="380"/>
      <c r="Z56" s="380"/>
      <c r="AA56" s="380"/>
      <c r="AB56" s="380"/>
      <c r="AC56" s="21"/>
      <c r="AD56" s="380"/>
    </row>
    <row r="57" spans="2:30" s="10" customFormat="1" ht="12.75" customHeight="1" x14ac:dyDescent="0.2">
      <c r="B57" s="21"/>
      <c r="C57" s="821"/>
      <c r="D57" s="821"/>
      <c r="E57" s="821"/>
      <c r="F57" s="821"/>
      <c r="G57" s="821"/>
      <c r="H57" s="821"/>
      <c r="I57" s="821"/>
      <c r="J57" s="821"/>
      <c r="K57" s="821"/>
      <c r="L57" s="821"/>
      <c r="M57" s="821"/>
      <c r="N57" s="821"/>
      <c r="O57" s="821"/>
      <c r="Q57" s="59"/>
      <c r="R57" s="24"/>
      <c r="S57" s="24"/>
      <c r="T57" s="59"/>
      <c r="U57" s="59"/>
      <c r="V57" s="379"/>
      <c r="W57" s="379"/>
      <c r="X57" s="380"/>
      <c r="Y57" s="380"/>
      <c r="Z57" s="380"/>
      <c r="AA57" s="380"/>
      <c r="AB57" s="380"/>
      <c r="AC57" s="21"/>
      <c r="AD57" s="380"/>
    </row>
    <row r="58" spans="2:30" s="69" customFormat="1" ht="12.75" customHeight="1" x14ac:dyDescent="0.2">
      <c r="L58" s="380"/>
      <c r="V58" s="366"/>
      <c r="W58" s="366"/>
      <c r="X58" s="366"/>
      <c r="Y58" s="366"/>
      <c r="Z58" s="366"/>
      <c r="AA58" s="366"/>
      <c r="AB58" s="366"/>
      <c r="AC58" s="366"/>
      <c r="AD58" s="380"/>
    </row>
    <row r="59" spans="2:30" s="69" customFormat="1" ht="12.75" customHeight="1" x14ac:dyDescent="0.2">
      <c r="L59" s="380"/>
      <c r="V59" s="366"/>
      <c r="W59" s="366"/>
      <c r="X59" s="366"/>
      <c r="Y59" s="366"/>
      <c r="Z59" s="366"/>
      <c r="AA59" s="366"/>
      <c r="AB59" s="366"/>
      <c r="AC59" s="366"/>
      <c r="AD59" s="380"/>
    </row>
    <row r="60" spans="2:30" s="10" customFormat="1" ht="12.75" customHeight="1" x14ac:dyDescent="0.2">
      <c r="L60" s="380"/>
      <c r="V60" s="380"/>
      <c r="W60" s="380"/>
      <c r="X60" s="380"/>
      <c r="Y60" s="380"/>
      <c r="Z60" s="380"/>
      <c r="AA60" s="380"/>
      <c r="AB60" s="380"/>
      <c r="AC60" s="380"/>
      <c r="AD60" s="380"/>
    </row>
    <row r="61" spans="2:30" s="244" customFormat="1" ht="12.75" customHeight="1" x14ac:dyDescent="0.2">
      <c r="L61" s="381"/>
      <c r="V61" s="381"/>
      <c r="W61" s="381"/>
      <c r="X61" s="381"/>
      <c r="Y61" s="381"/>
      <c r="Z61" s="381"/>
      <c r="AA61" s="381"/>
      <c r="AB61" s="381"/>
      <c r="AC61" s="381"/>
      <c r="AD61" s="381"/>
    </row>
    <row r="62" spans="2:30" s="10" customFormat="1" ht="12.75" customHeight="1" x14ac:dyDescent="0.2">
      <c r="L62" s="380"/>
      <c r="V62" s="380"/>
      <c r="W62" s="380"/>
      <c r="X62" s="380"/>
      <c r="Y62" s="380"/>
      <c r="Z62" s="380"/>
      <c r="AA62" s="380"/>
      <c r="AB62" s="380"/>
      <c r="AC62" s="380"/>
      <c r="AD62" s="380"/>
    </row>
    <row r="63" spans="2:30" s="10" customFormat="1" ht="12.75" customHeight="1" x14ac:dyDescent="0.2">
      <c r="L63" s="380"/>
      <c r="V63" s="380"/>
      <c r="W63" s="380"/>
      <c r="X63" s="380"/>
      <c r="Y63" s="380"/>
      <c r="Z63" s="380"/>
      <c r="AA63" s="380"/>
      <c r="AB63" s="380"/>
      <c r="AC63" s="380"/>
      <c r="AD63" s="380"/>
    </row>
    <row r="64" spans="2:30" s="10" customFormat="1" ht="12.75" customHeight="1" x14ac:dyDescent="0.2">
      <c r="L64" s="380"/>
      <c r="V64" s="380"/>
      <c r="W64" s="380"/>
      <c r="X64" s="380"/>
      <c r="Y64" s="380"/>
      <c r="Z64" s="380"/>
      <c r="AA64" s="380"/>
      <c r="AB64" s="380"/>
      <c r="AC64" s="380"/>
      <c r="AD64" s="380"/>
    </row>
    <row r="65" spans="12:30" s="10" customFormat="1" ht="12.75" customHeight="1" x14ac:dyDescent="0.2">
      <c r="L65" s="380"/>
      <c r="V65" s="380"/>
      <c r="W65" s="380"/>
      <c r="X65" s="380"/>
      <c r="Y65" s="380"/>
      <c r="Z65" s="380"/>
      <c r="AA65" s="380"/>
      <c r="AB65" s="380"/>
      <c r="AC65" s="380"/>
      <c r="AD65" s="380"/>
    </row>
    <row r="66" spans="12:30" s="10" customFormat="1" x14ac:dyDescent="0.2">
      <c r="L66" s="380"/>
      <c r="V66" s="380"/>
      <c r="W66" s="380"/>
      <c r="X66" s="380"/>
      <c r="Y66" s="380"/>
      <c r="Z66" s="380"/>
      <c r="AA66" s="380"/>
      <c r="AB66" s="380"/>
      <c r="AC66" s="380"/>
      <c r="AD66" s="380"/>
    </row>
    <row r="67" spans="12:30" s="10" customFormat="1" x14ac:dyDescent="0.2">
      <c r="L67" s="380"/>
      <c r="V67" s="380"/>
      <c r="W67" s="380"/>
      <c r="X67" s="380"/>
      <c r="Y67" s="380"/>
      <c r="Z67" s="380"/>
      <c r="AA67" s="380"/>
      <c r="AB67" s="380"/>
      <c r="AC67" s="380"/>
      <c r="AD67" s="380"/>
    </row>
    <row r="68" spans="12:30" s="10" customFormat="1" x14ac:dyDescent="0.2">
      <c r="L68" s="380"/>
      <c r="V68" s="380"/>
      <c r="W68" s="380"/>
      <c r="X68" s="380"/>
      <c r="Y68" s="380"/>
      <c r="Z68" s="380"/>
      <c r="AA68" s="380"/>
      <c r="AB68" s="380"/>
      <c r="AC68" s="380"/>
      <c r="AD68" s="380"/>
    </row>
    <row r="69" spans="12:30" s="10" customFormat="1" x14ac:dyDescent="0.2">
      <c r="L69" s="380"/>
      <c r="V69" s="380"/>
      <c r="W69" s="380"/>
      <c r="X69" s="380"/>
      <c r="Y69" s="380"/>
      <c r="Z69" s="380"/>
      <c r="AA69" s="380"/>
      <c r="AB69" s="380"/>
      <c r="AC69" s="380"/>
      <c r="AD69" s="380"/>
    </row>
    <row r="70" spans="12:30" s="10" customFormat="1" x14ac:dyDescent="0.2">
      <c r="L70" s="380"/>
      <c r="V70" s="380"/>
      <c r="W70" s="380"/>
      <c r="X70" s="380"/>
      <c r="Y70" s="380"/>
      <c r="Z70" s="380"/>
      <c r="AA70" s="380"/>
      <c r="AB70" s="380"/>
      <c r="AC70" s="380"/>
      <c r="AD70" s="380"/>
    </row>
    <row r="71" spans="12:30" s="10" customFormat="1" x14ac:dyDescent="0.2">
      <c r="L71" s="380"/>
      <c r="V71" s="380"/>
      <c r="W71" s="380"/>
      <c r="X71" s="380"/>
      <c r="Y71" s="380"/>
      <c r="Z71" s="380"/>
      <c r="AA71" s="380"/>
      <c r="AB71" s="380"/>
      <c r="AC71" s="380"/>
      <c r="AD71" s="380"/>
    </row>
    <row r="72" spans="12:30" s="10" customFormat="1" x14ac:dyDescent="0.2">
      <c r="L72" s="380"/>
      <c r="V72" s="380"/>
      <c r="W72" s="380"/>
      <c r="X72" s="380"/>
      <c r="Y72" s="380"/>
      <c r="Z72" s="380"/>
      <c r="AA72" s="380"/>
      <c r="AB72" s="380"/>
      <c r="AC72" s="380"/>
      <c r="AD72" s="380"/>
    </row>
    <row r="73" spans="12:30" s="10" customFormat="1" x14ac:dyDescent="0.2">
      <c r="L73" s="380"/>
      <c r="V73" s="380"/>
      <c r="W73" s="380"/>
      <c r="X73" s="380"/>
      <c r="Y73" s="380"/>
      <c r="Z73" s="380"/>
      <c r="AA73" s="380"/>
      <c r="AB73" s="380"/>
      <c r="AC73" s="380"/>
      <c r="AD73" s="380"/>
    </row>
    <row r="74" spans="12:30" s="10" customFormat="1" x14ac:dyDescent="0.2">
      <c r="L74" s="380"/>
      <c r="V74" s="380"/>
      <c r="W74" s="380"/>
      <c r="X74" s="380"/>
      <c r="Y74" s="380"/>
      <c r="Z74" s="380"/>
      <c r="AA74" s="380"/>
      <c r="AB74" s="380"/>
      <c r="AC74" s="380"/>
      <c r="AD74" s="380"/>
    </row>
    <row r="75" spans="12:30" s="10" customFormat="1" x14ac:dyDescent="0.2">
      <c r="L75" s="380"/>
      <c r="V75" s="380"/>
      <c r="W75" s="380"/>
      <c r="X75" s="380"/>
      <c r="Y75" s="380"/>
      <c r="Z75" s="380"/>
      <c r="AA75" s="380"/>
      <c r="AB75" s="380"/>
      <c r="AC75" s="380"/>
      <c r="AD75" s="380"/>
    </row>
    <row r="76" spans="12:30" s="10" customFormat="1" x14ac:dyDescent="0.2">
      <c r="L76" s="380"/>
      <c r="V76" s="380"/>
      <c r="W76" s="380"/>
      <c r="X76" s="380"/>
      <c r="Y76" s="380"/>
      <c r="Z76" s="380"/>
      <c r="AA76" s="380"/>
      <c r="AB76" s="380"/>
      <c r="AC76" s="380"/>
      <c r="AD76" s="380"/>
    </row>
    <row r="77" spans="12:30" s="10" customFormat="1" x14ac:dyDescent="0.2">
      <c r="L77" s="380"/>
      <c r="V77" s="380"/>
      <c r="W77" s="380"/>
      <c r="X77" s="380"/>
      <c r="Y77" s="380"/>
      <c r="Z77" s="380"/>
      <c r="AA77" s="380"/>
      <c r="AB77" s="380"/>
      <c r="AC77" s="380"/>
      <c r="AD77" s="380"/>
    </row>
    <row r="78" spans="12:30" s="21" customFormat="1" x14ac:dyDescent="0.2"/>
    <row r="79" spans="12:30" s="21" customFormat="1" x14ac:dyDescent="0.2"/>
    <row r="80" spans="12:30" s="10" customFormat="1" x14ac:dyDescent="0.2">
      <c r="L80" s="380"/>
      <c r="V80" s="380"/>
      <c r="W80" s="380"/>
      <c r="X80" s="380"/>
      <c r="Y80" s="380"/>
      <c r="Z80" s="380"/>
      <c r="AA80" s="380"/>
      <c r="AB80" s="380"/>
      <c r="AC80" s="380"/>
      <c r="AD80" s="380"/>
    </row>
    <row r="81" spans="12:30" s="10" customFormat="1" x14ac:dyDescent="0.2">
      <c r="L81" s="380"/>
      <c r="V81" s="380"/>
      <c r="W81" s="380"/>
      <c r="X81" s="380"/>
      <c r="Y81" s="380"/>
      <c r="Z81" s="380"/>
      <c r="AA81" s="380"/>
      <c r="AB81" s="380"/>
      <c r="AC81" s="380"/>
      <c r="AD81" s="380"/>
    </row>
    <row r="82" spans="12:30" s="10" customFormat="1" x14ac:dyDescent="0.2">
      <c r="L82" s="380"/>
      <c r="V82" s="380"/>
      <c r="W82" s="380"/>
      <c r="X82" s="380"/>
      <c r="Y82" s="380"/>
      <c r="Z82" s="380"/>
      <c r="AA82" s="380"/>
      <c r="AB82" s="380"/>
      <c r="AC82" s="380"/>
      <c r="AD82" s="380"/>
    </row>
    <row r="83" spans="12:30" s="10" customFormat="1" x14ac:dyDescent="0.2">
      <c r="L83" s="380"/>
      <c r="V83" s="380"/>
      <c r="W83" s="380"/>
      <c r="X83" s="380"/>
      <c r="Y83" s="380"/>
      <c r="Z83" s="380"/>
      <c r="AA83" s="380"/>
      <c r="AB83" s="380"/>
      <c r="AC83" s="380"/>
      <c r="AD83" s="380"/>
    </row>
    <row r="84" spans="12:30" s="10" customFormat="1" x14ac:dyDescent="0.2">
      <c r="L84" s="380"/>
      <c r="V84" s="380"/>
      <c r="W84" s="380"/>
      <c r="X84" s="380"/>
      <c r="Y84" s="380"/>
      <c r="Z84" s="380"/>
      <c r="AA84" s="380"/>
      <c r="AB84" s="380"/>
      <c r="AC84" s="380"/>
      <c r="AD84" s="380"/>
    </row>
    <row r="85" spans="12:30" s="10" customFormat="1" x14ac:dyDescent="0.2">
      <c r="L85" s="380"/>
      <c r="V85" s="380"/>
      <c r="W85" s="380"/>
      <c r="X85" s="380"/>
      <c r="Y85" s="380"/>
      <c r="Z85" s="380"/>
      <c r="AA85" s="380"/>
      <c r="AB85" s="380"/>
      <c r="AC85" s="380"/>
      <c r="AD85" s="380"/>
    </row>
    <row r="86" spans="12:30" s="10" customFormat="1" x14ac:dyDescent="0.2">
      <c r="L86" s="380"/>
      <c r="V86" s="380"/>
      <c r="W86" s="380"/>
      <c r="X86" s="380"/>
      <c r="Y86" s="380"/>
      <c r="Z86" s="380"/>
      <c r="AA86" s="380"/>
      <c r="AB86" s="380"/>
      <c r="AC86" s="380"/>
      <c r="AD86" s="380"/>
    </row>
    <row r="87" spans="12:30" s="10" customFormat="1" x14ac:dyDescent="0.2">
      <c r="L87" s="380"/>
      <c r="V87" s="380"/>
      <c r="W87" s="380"/>
      <c r="X87" s="380"/>
      <c r="Y87" s="380"/>
      <c r="Z87" s="380"/>
      <c r="AA87" s="380"/>
      <c r="AB87" s="380"/>
      <c r="AC87" s="380"/>
      <c r="AD87" s="380"/>
    </row>
    <row r="88" spans="12:30" s="10" customFormat="1" x14ac:dyDescent="0.2">
      <c r="L88" s="380"/>
      <c r="V88" s="380"/>
      <c r="W88" s="380"/>
      <c r="X88" s="380"/>
      <c r="Y88" s="380"/>
      <c r="Z88" s="380"/>
      <c r="AA88" s="380"/>
      <c r="AB88" s="380"/>
      <c r="AC88" s="380"/>
      <c r="AD88" s="380"/>
    </row>
    <row r="89" spans="12:30" s="10" customFormat="1" x14ac:dyDescent="0.2">
      <c r="L89" s="380"/>
      <c r="V89" s="380"/>
      <c r="W89" s="380"/>
      <c r="X89" s="380"/>
      <c r="Y89" s="380"/>
      <c r="Z89" s="380"/>
      <c r="AA89" s="380"/>
      <c r="AB89" s="380"/>
      <c r="AC89" s="380"/>
      <c r="AD89" s="380"/>
    </row>
    <row r="90" spans="12:30" s="21" customFormat="1" x14ac:dyDescent="0.2"/>
    <row r="91" spans="12:30" s="10" customFormat="1" x14ac:dyDescent="0.2">
      <c r="L91" s="380"/>
      <c r="V91" s="380"/>
      <c r="W91" s="380"/>
      <c r="X91" s="380"/>
      <c r="Y91" s="380"/>
      <c r="Z91" s="380"/>
      <c r="AA91" s="380"/>
      <c r="AB91" s="380"/>
      <c r="AC91" s="380"/>
      <c r="AD91" s="380"/>
    </row>
    <row r="92" spans="12:30" s="10" customFormat="1" x14ac:dyDescent="0.2">
      <c r="L92" s="380"/>
      <c r="V92" s="380"/>
      <c r="W92" s="380"/>
      <c r="X92" s="380"/>
      <c r="Y92" s="380"/>
      <c r="Z92" s="380"/>
      <c r="AA92" s="380"/>
      <c r="AB92" s="380"/>
      <c r="AC92" s="380"/>
      <c r="AD92" s="380"/>
    </row>
    <row r="93" spans="12:30" s="10" customFormat="1" x14ac:dyDescent="0.2">
      <c r="L93" s="380"/>
      <c r="V93" s="380"/>
      <c r="W93" s="380"/>
      <c r="X93" s="380"/>
      <c r="Y93" s="380"/>
      <c r="Z93" s="380"/>
      <c r="AA93" s="380"/>
      <c r="AB93" s="380"/>
      <c r="AC93" s="380"/>
      <c r="AD93" s="380"/>
    </row>
    <row r="94" spans="12:30" s="10" customFormat="1" x14ac:dyDescent="0.2">
      <c r="L94" s="380"/>
      <c r="V94" s="380"/>
      <c r="W94" s="380"/>
      <c r="X94" s="380"/>
      <c r="Y94" s="380"/>
      <c r="Z94" s="380"/>
      <c r="AA94" s="380"/>
      <c r="AB94" s="380"/>
      <c r="AC94" s="380"/>
      <c r="AD94" s="380"/>
    </row>
    <row r="95" spans="12:30" s="10" customFormat="1" x14ac:dyDescent="0.2">
      <c r="L95" s="380"/>
      <c r="V95" s="380"/>
      <c r="W95" s="380"/>
      <c r="X95" s="380"/>
      <c r="Y95" s="380"/>
      <c r="Z95" s="380"/>
      <c r="AA95" s="380"/>
      <c r="AB95" s="380"/>
      <c r="AC95" s="380"/>
      <c r="AD95" s="380"/>
    </row>
    <row r="96" spans="12:30" s="10" customFormat="1" x14ac:dyDescent="0.2">
      <c r="L96" s="380"/>
      <c r="V96" s="380"/>
      <c r="W96" s="380"/>
      <c r="X96" s="380"/>
      <c r="Y96" s="380"/>
      <c r="Z96" s="380"/>
      <c r="AA96" s="380"/>
      <c r="AB96" s="380"/>
      <c r="AC96" s="380"/>
      <c r="AD96" s="380"/>
    </row>
    <row r="97" spans="12:30" s="10" customFormat="1" x14ac:dyDescent="0.2">
      <c r="L97" s="380"/>
      <c r="V97" s="380"/>
      <c r="W97" s="380"/>
      <c r="X97" s="380"/>
      <c r="Y97" s="380"/>
      <c r="Z97" s="380"/>
      <c r="AA97" s="380"/>
      <c r="AB97" s="380"/>
      <c r="AC97" s="380"/>
      <c r="AD97" s="380"/>
    </row>
    <row r="98" spans="12:30" s="10" customFormat="1" x14ac:dyDescent="0.2">
      <c r="L98" s="380"/>
      <c r="V98" s="380"/>
      <c r="W98" s="380"/>
      <c r="X98" s="380"/>
      <c r="Y98" s="380"/>
      <c r="Z98" s="380"/>
      <c r="AA98" s="380"/>
      <c r="AB98" s="380"/>
      <c r="AC98" s="380"/>
      <c r="AD98" s="380"/>
    </row>
    <row r="99" spans="12:30" s="21" customFormat="1" x14ac:dyDescent="0.2"/>
    <row r="100" spans="12:30" s="10" customFormat="1" x14ac:dyDescent="0.2">
      <c r="L100" s="380"/>
      <c r="V100" s="380"/>
      <c r="W100" s="380"/>
      <c r="X100" s="380"/>
      <c r="Y100" s="380"/>
      <c r="Z100" s="380"/>
      <c r="AA100" s="380"/>
      <c r="AB100" s="380"/>
      <c r="AC100" s="380"/>
      <c r="AD100" s="380"/>
    </row>
    <row r="101" spans="12:30" s="21" customFormat="1" x14ac:dyDescent="0.2"/>
    <row r="102" spans="12:30" s="10" customFormat="1" x14ac:dyDescent="0.2">
      <c r="L102" s="380"/>
      <c r="V102" s="380"/>
      <c r="W102" s="380"/>
      <c r="X102" s="380"/>
      <c r="Y102" s="380"/>
      <c r="Z102" s="380"/>
      <c r="AA102" s="380"/>
      <c r="AB102" s="380"/>
      <c r="AC102" s="380"/>
      <c r="AD102" s="380"/>
    </row>
    <row r="103" spans="12:30" s="10" customFormat="1" x14ac:dyDescent="0.2">
      <c r="L103" s="380"/>
      <c r="V103" s="380"/>
      <c r="W103" s="380"/>
      <c r="X103" s="380"/>
      <c r="Y103" s="380"/>
      <c r="Z103" s="380"/>
      <c r="AA103" s="380"/>
      <c r="AB103" s="380"/>
      <c r="AC103" s="380"/>
      <c r="AD103" s="380"/>
    </row>
    <row r="104" spans="12:30" s="10" customFormat="1" x14ac:dyDescent="0.2">
      <c r="L104" s="380"/>
      <c r="V104" s="380"/>
      <c r="W104" s="380"/>
      <c r="X104" s="380"/>
      <c r="Y104" s="380"/>
      <c r="Z104" s="380"/>
      <c r="AA104" s="380"/>
      <c r="AB104" s="380"/>
      <c r="AC104" s="380"/>
      <c r="AD104" s="380"/>
    </row>
    <row r="105" spans="12:30" s="10" customFormat="1" x14ac:dyDescent="0.2">
      <c r="L105" s="380"/>
      <c r="V105" s="380"/>
      <c r="W105" s="380"/>
      <c r="X105" s="380"/>
      <c r="Y105" s="380"/>
      <c r="Z105" s="380"/>
      <c r="AA105" s="380"/>
      <c r="AB105" s="380"/>
      <c r="AC105" s="380"/>
      <c r="AD105" s="380"/>
    </row>
    <row r="106" spans="12:30" s="10" customFormat="1" x14ac:dyDescent="0.2">
      <c r="L106" s="380"/>
      <c r="V106" s="380"/>
      <c r="W106" s="380"/>
      <c r="X106" s="380"/>
      <c r="Y106" s="380"/>
      <c r="Z106" s="380"/>
      <c r="AA106" s="380"/>
      <c r="AB106" s="380"/>
      <c r="AC106" s="380"/>
      <c r="AD106" s="380"/>
    </row>
    <row r="107" spans="12:30" s="10" customFormat="1" x14ac:dyDescent="0.2">
      <c r="L107" s="380"/>
      <c r="V107" s="380"/>
      <c r="W107" s="380"/>
      <c r="X107" s="380"/>
      <c r="Y107" s="380"/>
      <c r="Z107" s="380"/>
      <c r="AA107" s="380"/>
      <c r="AB107" s="380"/>
      <c r="AC107" s="380"/>
      <c r="AD107" s="380"/>
    </row>
    <row r="108" spans="12:30" s="10" customFormat="1" x14ac:dyDescent="0.2">
      <c r="L108" s="380"/>
      <c r="V108" s="380"/>
      <c r="W108" s="380"/>
      <c r="X108" s="380"/>
      <c r="Y108" s="380"/>
      <c r="Z108" s="380"/>
      <c r="AA108" s="380"/>
      <c r="AB108" s="380"/>
      <c r="AC108" s="380"/>
      <c r="AD108" s="380"/>
    </row>
    <row r="109" spans="12:30" s="10" customFormat="1" x14ac:dyDescent="0.2">
      <c r="L109" s="380"/>
      <c r="V109" s="380"/>
      <c r="W109" s="380"/>
      <c r="X109" s="380"/>
      <c r="Y109" s="380"/>
      <c r="Z109" s="380"/>
      <c r="AA109" s="380"/>
      <c r="AB109" s="380"/>
      <c r="AC109" s="380"/>
      <c r="AD109" s="380"/>
    </row>
    <row r="110" spans="12:30" s="21" customFormat="1" x14ac:dyDescent="0.2"/>
    <row r="111" spans="12:30" s="10" customFormat="1" x14ac:dyDescent="0.2">
      <c r="L111" s="380"/>
      <c r="V111" s="380"/>
      <c r="W111" s="380"/>
      <c r="X111" s="380"/>
      <c r="Y111" s="380"/>
      <c r="Z111" s="380"/>
      <c r="AA111" s="380"/>
      <c r="AB111" s="380"/>
      <c r="AC111" s="380"/>
      <c r="AD111" s="380"/>
    </row>
    <row r="112" spans="12:30" s="10" customFormat="1" x14ac:dyDescent="0.2">
      <c r="L112" s="380"/>
      <c r="V112" s="380"/>
      <c r="W112" s="380"/>
      <c r="X112" s="380"/>
      <c r="Y112" s="380"/>
      <c r="Z112" s="380"/>
      <c r="AA112" s="380"/>
      <c r="AB112" s="380"/>
      <c r="AC112" s="380"/>
      <c r="AD112" s="380"/>
    </row>
    <row r="113" spans="3:30" s="10" customFormat="1" x14ac:dyDescent="0.2">
      <c r="L113" s="380"/>
      <c r="V113" s="380"/>
      <c r="W113" s="380"/>
      <c r="X113" s="380"/>
      <c r="Y113" s="380"/>
      <c r="Z113" s="380"/>
      <c r="AA113" s="380"/>
      <c r="AB113" s="380"/>
      <c r="AC113" s="380"/>
      <c r="AD113" s="380"/>
    </row>
    <row r="114" spans="3:30" s="10" customFormat="1" x14ac:dyDescent="0.2">
      <c r="L114" s="380"/>
      <c r="V114" s="380"/>
      <c r="W114" s="380"/>
      <c r="X114" s="380"/>
      <c r="Y114" s="380"/>
      <c r="Z114" s="380"/>
      <c r="AA114" s="380"/>
      <c r="AB114" s="380"/>
      <c r="AC114" s="380"/>
      <c r="AD114" s="380"/>
    </row>
    <row r="115" spans="3:30" s="10" customFormat="1" x14ac:dyDescent="0.2">
      <c r="L115" s="380"/>
      <c r="V115" s="380"/>
      <c r="W115" s="380"/>
      <c r="X115" s="380"/>
      <c r="Y115" s="380"/>
      <c r="Z115" s="380"/>
      <c r="AA115" s="380"/>
      <c r="AB115" s="380"/>
      <c r="AC115" s="380"/>
      <c r="AD115" s="380"/>
    </row>
    <row r="116" spans="3:30" s="21" customFormat="1" x14ac:dyDescent="0.2"/>
    <row r="117" spans="3:30" s="21" customFormat="1" x14ac:dyDescent="0.2"/>
    <row r="118" spans="3:30" s="21" customFormat="1" x14ac:dyDescent="0.2"/>
    <row r="119" spans="3:30" s="10" customFormat="1" x14ac:dyDescent="0.2">
      <c r="L119" s="380"/>
      <c r="V119" s="380"/>
      <c r="W119" s="380"/>
      <c r="X119" s="380"/>
      <c r="Y119" s="380"/>
      <c r="Z119" s="380"/>
      <c r="AA119" s="380"/>
      <c r="AB119" s="380"/>
      <c r="AC119" s="380"/>
      <c r="AD119" s="380"/>
    </row>
    <row r="120" spans="3:30" s="10" customFormat="1" x14ac:dyDescent="0.2">
      <c r="L120" s="380"/>
      <c r="V120" s="380"/>
      <c r="W120" s="380"/>
      <c r="X120" s="380"/>
      <c r="Y120" s="380"/>
      <c r="Z120" s="380"/>
      <c r="AA120" s="380"/>
      <c r="AB120" s="380"/>
      <c r="AC120" s="380"/>
      <c r="AD120" s="380"/>
    </row>
    <row r="121" spans="3:30" s="10" customFormat="1" x14ac:dyDescent="0.2">
      <c r="C121" s="852"/>
      <c r="D121" s="852"/>
      <c r="E121" s="852"/>
      <c r="F121" s="852"/>
      <c r="G121" s="852"/>
      <c r="H121" s="852"/>
      <c r="I121" s="852"/>
      <c r="J121" s="852"/>
      <c r="K121" s="852"/>
      <c r="L121" s="852"/>
      <c r="M121" s="852"/>
      <c r="N121" s="852"/>
      <c r="O121" s="852"/>
      <c r="P121" s="852"/>
      <c r="V121" s="380"/>
      <c r="W121" s="380"/>
      <c r="X121" s="380"/>
      <c r="Y121" s="380"/>
      <c r="Z121" s="380"/>
      <c r="AA121" s="380"/>
      <c r="AB121" s="380"/>
      <c r="AC121" s="380"/>
      <c r="AD121" s="380"/>
    </row>
    <row r="122" spans="3:30" s="10" customFormat="1" x14ac:dyDescent="0.2">
      <c r="C122" s="852"/>
      <c r="D122" s="852"/>
      <c r="E122" s="852"/>
      <c r="F122" s="852"/>
      <c r="G122" s="852"/>
      <c r="H122" s="852"/>
      <c r="I122" s="852"/>
      <c r="J122" s="852"/>
      <c r="K122" s="852"/>
      <c r="L122" s="852"/>
      <c r="M122" s="852"/>
      <c r="N122" s="852"/>
      <c r="O122" s="852"/>
      <c r="P122" s="852"/>
      <c r="V122" s="380"/>
      <c r="W122" s="380"/>
      <c r="X122" s="380"/>
      <c r="Y122" s="380"/>
      <c r="Z122" s="380"/>
      <c r="AA122" s="380"/>
      <c r="AB122" s="380"/>
      <c r="AC122" s="380"/>
      <c r="AD122" s="380"/>
    </row>
    <row r="123" spans="3:30" s="10" customFormat="1" ht="14.25" customHeight="1" x14ac:dyDescent="0.2">
      <c r="C123" s="852"/>
      <c r="D123" s="852"/>
      <c r="E123" s="852"/>
      <c r="F123" s="852"/>
      <c r="G123" s="852"/>
      <c r="H123" s="852"/>
      <c r="I123" s="852"/>
      <c r="J123" s="852"/>
      <c r="K123" s="852"/>
      <c r="L123" s="852"/>
      <c r="M123" s="852"/>
      <c r="N123" s="852"/>
      <c r="O123" s="852"/>
      <c r="P123" s="852"/>
      <c r="V123" s="380"/>
      <c r="W123" s="380"/>
      <c r="X123" s="380"/>
      <c r="Y123" s="380"/>
      <c r="Z123" s="380"/>
      <c r="AA123" s="380"/>
      <c r="AB123" s="380"/>
      <c r="AC123" s="380"/>
      <c r="AD123" s="380"/>
    </row>
    <row r="124" spans="3:30" s="10" customFormat="1" ht="14.25" customHeight="1" x14ac:dyDescent="0.2">
      <c r="C124" s="852"/>
      <c r="D124" s="852"/>
      <c r="E124" s="852"/>
      <c r="F124" s="852"/>
      <c r="G124" s="852"/>
      <c r="H124" s="852"/>
      <c r="I124" s="852"/>
      <c r="J124" s="852"/>
      <c r="K124" s="852"/>
      <c r="L124" s="852"/>
      <c r="M124" s="852"/>
      <c r="N124" s="852"/>
      <c r="O124" s="852"/>
      <c r="P124" s="852"/>
      <c r="V124" s="380"/>
      <c r="W124" s="380"/>
      <c r="X124" s="380"/>
      <c r="Y124" s="380"/>
      <c r="Z124" s="380"/>
      <c r="AA124" s="380"/>
      <c r="AB124" s="380"/>
      <c r="AC124" s="380"/>
      <c r="AD124" s="380"/>
    </row>
    <row r="125" spans="3:30" s="10" customFormat="1" x14ac:dyDescent="0.2">
      <c r="L125" s="380"/>
      <c r="V125" s="380"/>
      <c r="W125" s="380"/>
      <c r="X125" s="380"/>
      <c r="Y125" s="380"/>
      <c r="Z125" s="380"/>
      <c r="AA125" s="380"/>
      <c r="AB125" s="380"/>
      <c r="AC125" s="380"/>
      <c r="AD125" s="380"/>
    </row>
    <row r="126" spans="3:30" s="10" customFormat="1" x14ac:dyDescent="0.2">
      <c r="L126" s="380"/>
      <c r="V126" s="380"/>
      <c r="W126" s="380"/>
      <c r="X126" s="380"/>
      <c r="Y126" s="380"/>
      <c r="Z126" s="380"/>
      <c r="AA126" s="380"/>
      <c r="AB126" s="380"/>
      <c r="AC126" s="380"/>
      <c r="AD126" s="380"/>
    </row>
    <row r="127" spans="3:30" s="10" customFormat="1" x14ac:dyDescent="0.2">
      <c r="L127" s="380"/>
      <c r="V127" s="380"/>
      <c r="W127" s="380"/>
      <c r="X127" s="380"/>
      <c r="Y127" s="380"/>
      <c r="Z127" s="380"/>
      <c r="AA127" s="380"/>
      <c r="AB127" s="380"/>
      <c r="AC127" s="380"/>
      <c r="AD127" s="380"/>
    </row>
    <row r="128" spans="3:30" s="10" customFormat="1" x14ac:dyDescent="0.2">
      <c r="L128" s="380"/>
      <c r="V128" s="380"/>
      <c r="W128" s="380"/>
      <c r="X128" s="380"/>
      <c r="Y128" s="380"/>
      <c r="Z128" s="380"/>
      <c r="AA128" s="380"/>
      <c r="AB128" s="380"/>
      <c r="AC128" s="380"/>
      <c r="AD128" s="380"/>
    </row>
    <row r="129" spans="12:30" s="10" customFormat="1" x14ac:dyDescent="0.2">
      <c r="L129" s="380"/>
      <c r="V129" s="380"/>
      <c r="W129" s="380"/>
      <c r="X129" s="380"/>
      <c r="Y129" s="380"/>
      <c r="Z129" s="380"/>
      <c r="AA129" s="380"/>
      <c r="AB129" s="380"/>
      <c r="AC129" s="380"/>
      <c r="AD129" s="380"/>
    </row>
    <row r="130" spans="12:30" s="10" customFormat="1" x14ac:dyDescent="0.2">
      <c r="L130" s="380"/>
      <c r="V130" s="380"/>
      <c r="W130" s="380"/>
      <c r="X130" s="380"/>
      <c r="Y130" s="380"/>
      <c r="Z130" s="380"/>
      <c r="AA130" s="380"/>
      <c r="AB130" s="380"/>
      <c r="AC130" s="380"/>
      <c r="AD130" s="380"/>
    </row>
    <row r="131" spans="12:30" s="10" customFormat="1" x14ac:dyDescent="0.2">
      <c r="L131" s="380"/>
      <c r="V131" s="380"/>
      <c r="W131" s="380"/>
      <c r="X131" s="380"/>
      <c r="Y131" s="380"/>
      <c r="Z131" s="380"/>
      <c r="AA131" s="380"/>
      <c r="AB131" s="380"/>
      <c r="AC131" s="380"/>
      <c r="AD131" s="380"/>
    </row>
    <row r="132" spans="12:30" s="10" customFormat="1" x14ac:dyDescent="0.2">
      <c r="L132" s="380"/>
      <c r="V132" s="380"/>
      <c r="W132" s="380"/>
      <c r="X132" s="380"/>
      <c r="Y132" s="380"/>
      <c r="Z132" s="380"/>
      <c r="AA132" s="380"/>
      <c r="AB132" s="380"/>
      <c r="AC132" s="380"/>
      <c r="AD132" s="380"/>
    </row>
    <row r="133" spans="12:30" s="10" customFormat="1" x14ac:dyDescent="0.2">
      <c r="L133" s="380"/>
      <c r="V133" s="380"/>
      <c r="W133" s="380"/>
      <c r="X133" s="380"/>
      <c r="Y133" s="380"/>
      <c r="Z133" s="380"/>
      <c r="AA133" s="380"/>
      <c r="AB133" s="380"/>
      <c r="AC133" s="380"/>
      <c r="AD133" s="380"/>
    </row>
    <row r="134" spans="12:30" s="10" customFormat="1" x14ac:dyDescent="0.2">
      <c r="L134" s="380"/>
      <c r="V134" s="380"/>
      <c r="W134" s="380"/>
      <c r="X134" s="380"/>
      <c r="Y134" s="380"/>
      <c r="Z134" s="380"/>
      <c r="AA134" s="380"/>
      <c r="AB134" s="380"/>
      <c r="AC134" s="380"/>
      <c r="AD134" s="380"/>
    </row>
    <row r="135" spans="12:30" s="10" customFormat="1" x14ac:dyDescent="0.2">
      <c r="L135" s="380"/>
      <c r="V135" s="380"/>
      <c r="W135" s="380"/>
      <c r="X135" s="380"/>
      <c r="Y135" s="380"/>
      <c r="Z135" s="380"/>
      <c r="AA135" s="380"/>
      <c r="AB135" s="380"/>
      <c r="AC135" s="380"/>
      <c r="AD135" s="380"/>
    </row>
    <row r="136" spans="12:30" s="10" customFormat="1" x14ac:dyDescent="0.2">
      <c r="L136" s="380"/>
      <c r="V136" s="380"/>
      <c r="W136" s="380"/>
      <c r="X136" s="380"/>
      <c r="Y136" s="380"/>
      <c r="Z136" s="380"/>
      <c r="AA136" s="380"/>
      <c r="AB136" s="380"/>
      <c r="AC136" s="380"/>
      <c r="AD136" s="380"/>
    </row>
    <row r="137" spans="12:30" s="10" customFormat="1" x14ac:dyDescent="0.2">
      <c r="L137" s="380"/>
      <c r="V137" s="380"/>
      <c r="W137" s="380"/>
      <c r="X137" s="380"/>
      <c r="Y137" s="380"/>
      <c r="Z137" s="380"/>
      <c r="AA137" s="380"/>
      <c r="AB137" s="380"/>
      <c r="AC137" s="380"/>
      <c r="AD137" s="380"/>
    </row>
    <row r="138" spans="12:30" s="10" customFormat="1" x14ac:dyDescent="0.2">
      <c r="L138" s="380"/>
      <c r="V138" s="380"/>
      <c r="W138" s="380"/>
      <c r="X138" s="380"/>
      <c r="Y138" s="380"/>
      <c r="Z138" s="380"/>
      <c r="AA138" s="380"/>
      <c r="AB138" s="380"/>
      <c r="AC138" s="380"/>
      <c r="AD138" s="380"/>
    </row>
    <row r="139" spans="12:30" s="10" customFormat="1" x14ac:dyDescent="0.2">
      <c r="L139" s="380"/>
      <c r="V139" s="380"/>
      <c r="W139" s="380"/>
      <c r="X139" s="380"/>
      <c r="Y139" s="380"/>
      <c r="Z139" s="380"/>
      <c r="AA139" s="380"/>
      <c r="AB139" s="380"/>
      <c r="AC139" s="380"/>
      <c r="AD139" s="380"/>
    </row>
    <row r="140" spans="12:30" s="10" customFormat="1" x14ac:dyDescent="0.2">
      <c r="L140" s="380"/>
      <c r="V140" s="380"/>
      <c r="W140" s="380"/>
      <c r="X140" s="380"/>
      <c r="Y140" s="380"/>
      <c r="Z140" s="380"/>
      <c r="AA140" s="380"/>
      <c r="AB140" s="380"/>
      <c r="AC140" s="380"/>
      <c r="AD140" s="380"/>
    </row>
    <row r="141" spans="12:30" s="10" customFormat="1" x14ac:dyDescent="0.2">
      <c r="L141" s="380"/>
      <c r="V141" s="380"/>
      <c r="W141" s="380"/>
      <c r="X141" s="380"/>
      <c r="Y141" s="380"/>
      <c r="Z141" s="380"/>
      <c r="AA141" s="380"/>
      <c r="AB141" s="380"/>
      <c r="AC141" s="380"/>
      <c r="AD141" s="380"/>
    </row>
    <row r="142" spans="12:30" s="10" customFormat="1" x14ac:dyDescent="0.2">
      <c r="L142" s="380"/>
      <c r="V142" s="380"/>
      <c r="W142" s="380"/>
      <c r="X142" s="380"/>
      <c r="Y142" s="380"/>
      <c r="Z142" s="380"/>
      <c r="AA142" s="380"/>
      <c r="AB142" s="380"/>
      <c r="AC142" s="380"/>
      <c r="AD142" s="380"/>
    </row>
    <row r="143" spans="12:30" s="10" customFormat="1" x14ac:dyDescent="0.2">
      <c r="L143" s="380"/>
      <c r="V143" s="380"/>
      <c r="W143" s="380"/>
      <c r="X143" s="380"/>
      <c r="Y143" s="380"/>
      <c r="Z143" s="380"/>
      <c r="AA143" s="380"/>
      <c r="AB143" s="380"/>
      <c r="AC143" s="380"/>
      <c r="AD143" s="380"/>
    </row>
    <row r="144" spans="12:30" s="10" customFormat="1" x14ac:dyDescent="0.2">
      <c r="L144" s="380"/>
      <c r="V144" s="380"/>
      <c r="W144" s="380"/>
      <c r="X144" s="380"/>
      <c r="Y144" s="380"/>
      <c r="Z144" s="380"/>
      <c r="AA144" s="380"/>
      <c r="AB144" s="380"/>
      <c r="AC144" s="380"/>
      <c r="AD144" s="380"/>
    </row>
    <row r="145" spans="12:30" s="10" customFormat="1" x14ac:dyDescent="0.2">
      <c r="L145" s="380"/>
      <c r="V145" s="380"/>
      <c r="W145" s="380"/>
      <c r="X145" s="380"/>
      <c r="Y145" s="380"/>
      <c r="Z145" s="380"/>
      <c r="AA145" s="380"/>
      <c r="AB145" s="380"/>
      <c r="AC145" s="380"/>
      <c r="AD145" s="380"/>
    </row>
    <row r="146" spans="12:30" s="10" customFormat="1" x14ac:dyDescent="0.2">
      <c r="L146" s="380"/>
      <c r="V146" s="380"/>
      <c r="W146" s="380"/>
      <c r="X146" s="380"/>
      <c r="Y146" s="380"/>
      <c r="Z146" s="380"/>
      <c r="AA146" s="380"/>
      <c r="AB146" s="380"/>
      <c r="AC146" s="380"/>
      <c r="AD146" s="380"/>
    </row>
    <row r="147" spans="12:30" s="10" customFormat="1" x14ac:dyDescent="0.2">
      <c r="L147" s="380"/>
      <c r="V147" s="380"/>
      <c r="W147" s="380"/>
      <c r="X147" s="380"/>
      <c r="Y147" s="380"/>
      <c r="Z147" s="380"/>
      <c r="AA147" s="380"/>
      <c r="AB147" s="380"/>
      <c r="AC147" s="380"/>
      <c r="AD147" s="380"/>
    </row>
    <row r="148" spans="12:30" s="10" customFormat="1" x14ac:dyDescent="0.2">
      <c r="L148" s="380"/>
      <c r="V148" s="380"/>
      <c r="W148" s="380"/>
      <c r="X148" s="380"/>
      <c r="Y148" s="380"/>
      <c r="Z148" s="380"/>
      <c r="AA148" s="380"/>
      <c r="AB148" s="380"/>
      <c r="AC148" s="380"/>
      <c r="AD148" s="380"/>
    </row>
    <row r="149" spans="12:30" s="10" customFormat="1" x14ac:dyDescent="0.2">
      <c r="L149" s="380"/>
      <c r="V149" s="380"/>
      <c r="W149" s="380"/>
      <c r="X149" s="380"/>
      <c r="Y149" s="380"/>
      <c r="Z149" s="380"/>
      <c r="AA149" s="380"/>
      <c r="AB149" s="380"/>
      <c r="AC149" s="380"/>
      <c r="AD149" s="380"/>
    </row>
    <row r="150" spans="12:30" s="10" customFormat="1" x14ac:dyDescent="0.2">
      <c r="L150" s="380"/>
      <c r="V150" s="380"/>
      <c r="W150" s="380"/>
      <c r="X150" s="380"/>
      <c r="Y150" s="380"/>
      <c r="Z150" s="380"/>
      <c r="AA150" s="380"/>
      <c r="AB150" s="380"/>
      <c r="AC150" s="380"/>
      <c r="AD150" s="380"/>
    </row>
    <row r="151" spans="12:30" s="10" customFormat="1" x14ac:dyDescent="0.2">
      <c r="L151" s="380"/>
      <c r="V151" s="380"/>
      <c r="W151" s="380"/>
      <c r="X151" s="380"/>
      <c r="Y151" s="380"/>
      <c r="Z151" s="380"/>
      <c r="AA151" s="380"/>
      <c r="AB151" s="380"/>
      <c r="AC151" s="380"/>
      <c r="AD151" s="380"/>
    </row>
    <row r="152" spans="12:30" s="10" customFormat="1" x14ac:dyDescent="0.2">
      <c r="L152" s="380"/>
      <c r="V152" s="380"/>
      <c r="W152" s="380"/>
      <c r="X152" s="380"/>
      <c r="Y152" s="380"/>
      <c r="Z152" s="380"/>
      <c r="AA152" s="380"/>
      <c r="AB152" s="380"/>
      <c r="AC152" s="380"/>
      <c r="AD152" s="380"/>
    </row>
    <row r="153" spans="12:30" s="10" customFormat="1" x14ac:dyDescent="0.2">
      <c r="L153" s="380"/>
      <c r="V153" s="380"/>
      <c r="W153" s="380"/>
      <c r="X153" s="380"/>
      <c r="Y153" s="380"/>
      <c r="Z153" s="380"/>
      <c r="AA153" s="380"/>
      <c r="AB153" s="380"/>
      <c r="AC153" s="380"/>
      <c r="AD153" s="380"/>
    </row>
    <row r="154" spans="12:30" s="10" customFormat="1" x14ac:dyDescent="0.2">
      <c r="L154" s="380"/>
      <c r="V154" s="380"/>
      <c r="W154" s="380"/>
      <c r="X154" s="380"/>
      <c r="Y154" s="380"/>
      <c r="Z154" s="380"/>
      <c r="AA154" s="380"/>
      <c r="AB154" s="380"/>
      <c r="AC154" s="380"/>
      <c r="AD154" s="380"/>
    </row>
    <row r="155" spans="12:30" s="10" customFormat="1" x14ac:dyDescent="0.2">
      <c r="L155" s="380"/>
      <c r="V155" s="380"/>
      <c r="W155" s="380"/>
      <c r="X155" s="380"/>
      <c r="Y155" s="380"/>
      <c r="Z155" s="380"/>
      <c r="AA155" s="380"/>
      <c r="AB155" s="380"/>
      <c r="AC155" s="380"/>
      <c r="AD155" s="380"/>
    </row>
    <row r="156" spans="12:30" s="10" customFormat="1" x14ac:dyDescent="0.2">
      <c r="L156" s="380"/>
      <c r="V156" s="380"/>
      <c r="W156" s="380"/>
      <c r="X156" s="380"/>
      <c r="Y156" s="380"/>
      <c r="Z156" s="380"/>
      <c r="AA156" s="380"/>
      <c r="AB156" s="380"/>
      <c r="AC156" s="380"/>
      <c r="AD156" s="380"/>
    </row>
    <row r="157" spans="12:30" s="10" customFormat="1" x14ac:dyDescent="0.2">
      <c r="L157" s="380"/>
      <c r="V157" s="380"/>
      <c r="W157" s="380"/>
      <c r="X157" s="380"/>
      <c r="Y157" s="380"/>
      <c r="Z157" s="380"/>
      <c r="AA157" s="380"/>
      <c r="AB157" s="380"/>
      <c r="AC157" s="380"/>
      <c r="AD157" s="380"/>
    </row>
    <row r="158" spans="12:30" s="10" customFormat="1" x14ac:dyDescent="0.2">
      <c r="L158" s="380"/>
      <c r="V158" s="380"/>
      <c r="W158" s="380"/>
      <c r="X158" s="380"/>
      <c r="Y158" s="380"/>
      <c r="Z158" s="380"/>
      <c r="AA158" s="380"/>
      <c r="AB158" s="380"/>
      <c r="AC158" s="380"/>
      <c r="AD158" s="380"/>
    </row>
    <row r="159" spans="12:30" s="10" customFormat="1" x14ac:dyDescent="0.2">
      <c r="L159" s="380"/>
      <c r="V159" s="380"/>
      <c r="W159" s="380"/>
      <c r="X159" s="380"/>
      <c r="Y159" s="380"/>
      <c r="Z159" s="380"/>
      <c r="AA159" s="380"/>
      <c r="AB159" s="380"/>
      <c r="AC159" s="380"/>
      <c r="AD159" s="380"/>
    </row>
    <row r="160" spans="12:30" s="10" customFormat="1" x14ac:dyDescent="0.2">
      <c r="L160" s="380"/>
      <c r="V160" s="380"/>
      <c r="W160" s="380"/>
      <c r="X160" s="380"/>
      <c r="Y160" s="380"/>
      <c r="Z160" s="380"/>
      <c r="AA160" s="380"/>
      <c r="AB160" s="380"/>
      <c r="AC160" s="380"/>
      <c r="AD160" s="380"/>
    </row>
    <row r="161" spans="12:30" s="10" customFormat="1" x14ac:dyDescent="0.2">
      <c r="L161" s="380"/>
      <c r="V161" s="380"/>
      <c r="W161" s="380"/>
      <c r="X161" s="380"/>
      <c r="Y161" s="380"/>
      <c r="Z161" s="380"/>
      <c r="AA161" s="380"/>
      <c r="AB161" s="380"/>
      <c r="AC161" s="380"/>
      <c r="AD161" s="380"/>
    </row>
    <row r="162" spans="12:30" s="10" customFormat="1" x14ac:dyDescent="0.2">
      <c r="L162" s="380"/>
      <c r="V162" s="380"/>
      <c r="W162" s="380"/>
      <c r="X162" s="380"/>
      <c r="Y162" s="380"/>
      <c r="Z162" s="380"/>
      <c r="AA162" s="380"/>
      <c r="AB162" s="380"/>
      <c r="AC162" s="380"/>
      <c r="AD162" s="380"/>
    </row>
    <row r="163" spans="12:30" s="10" customFormat="1" x14ac:dyDescent="0.2">
      <c r="L163" s="380"/>
      <c r="V163" s="380"/>
      <c r="W163" s="380"/>
      <c r="X163" s="380"/>
      <c r="Y163" s="380"/>
      <c r="Z163" s="380"/>
      <c r="AA163" s="380"/>
      <c r="AB163" s="380"/>
      <c r="AC163" s="380"/>
      <c r="AD163" s="380"/>
    </row>
    <row r="164" spans="12:30" s="10" customFormat="1" x14ac:dyDescent="0.2">
      <c r="L164" s="380"/>
      <c r="V164" s="380"/>
      <c r="W164" s="380"/>
      <c r="X164" s="380"/>
      <c r="Y164" s="380"/>
      <c r="Z164" s="380"/>
      <c r="AA164" s="380"/>
      <c r="AB164" s="380"/>
      <c r="AC164" s="380"/>
      <c r="AD164" s="380"/>
    </row>
    <row r="165" spans="12:30" s="10" customFormat="1" x14ac:dyDescent="0.2">
      <c r="L165" s="380"/>
      <c r="V165" s="380"/>
      <c r="W165" s="380"/>
      <c r="X165" s="380"/>
      <c r="Y165" s="380"/>
      <c r="Z165" s="380"/>
      <c r="AA165" s="380"/>
      <c r="AB165" s="380"/>
      <c r="AC165" s="380"/>
      <c r="AD165" s="380"/>
    </row>
    <row r="166" spans="12:30" s="10" customFormat="1" x14ac:dyDescent="0.2">
      <c r="L166" s="380"/>
      <c r="V166" s="380"/>
      <c r="W166" s="380"/>
      <c r="X166" s="380"/>
      <c r="Y166" s="380"/>
      <c r="Z166" s="380"/>
      <c r="AA166" s="380"/>
      <c r="AB166" s="380"/>
      <c r="AC166" s="380"/>
      <c r="AD166" s="380"/>
    </row>
    <row r="167" spans="12:30" s="10" customFormat="1" x14ac:dyDescent="0.2">
      <c r="L167" s="380"/>
      <c r="V167" s="380"/>
      <c r="W167" s="380"/>
      <c r="X167" s="380"/>
      <c r="Y167" s="380"/>
      <c r="Z167" s="380"/>
      <c r="AA167" s="380"/>
      <c r="AB167" s="380"/>
      <c r="AC167" s="380"/>
      <c r="AD167" s="380"/>
    </row>
    <row r="168" spans="12:30" s="10" customFormat="1" x14ac:dyDescent="0.2">
      <c r="L168" s="380"/>
      <c r="V168" s="380"/>
      <c r="W168" s="380"/>
      <c r="X168" s="380"/>
      <c r="Y168" s="380"/>
      <c r="Z168" s="380"/>
      <c r="AA168" s="380"/>
      <c r="AB168" s="380"/>
      <c r="AC168" s="380"/>
      <c r="AD168" s="380"/>
    </row>
    <row r="169" spans="12:30" s="10" customFormat="1" x14ac:dyDescent="0.2">
      <c r="L169" s="380"/>
      <c r="V169" s="380"/>
      <c r="W169" s="380"/>
      <c r="X169" s="380"/>
      <c r="Y169" s="380"/>
      <c r="Z169" s="380"/>
      <c r="AA169" s="380"/>
      <c r="AB169" s="380"/>
      <c r="AC169" s="380"/>
      <c r="AD169" s="380"/>
    </row>
    <row r="170" spans="12:30" s="10" customFormat="1" x14ac:dyDescent="0.2">
      <c r="L170" s="380"/>
      <c r="V170" s="380"/>
      <c r="W170" s="380"/>
      <c r="X170" s="380"/>
      <c r="Y170" s="380"/>
      <c r="Z170" s="380"/>
      <c r="AA170" s="380"/>
      <c r="AB170" s="380"/>
      <c r="AC170" s="380"/>
      <c r="AD170" s="380"/>
    </row>
    <row r="171" spans="12:30" s="10" customFormat="1" x14ac:dyDescent="0.2">
      <c r="L171" s="380"/>
      <c r="V171" s="380"/>
      <c r="W171" s="380"/>
      <c r="X171" s="380"/>
      <c r="Y171" s="380"/>
      <c r="Z171" s="380"/>
      <c r="AA171" s="380"/>
      <c r="AB171" s="380"/>
      <c r="AC171" s="380"/>
      <c r="AD171" s="380"/>
    </row>
    <row r="172" spans="12:30" s="10" customFormat="1" x14ac:dyDescent="0.2">
      <c r="L172" s="380"/>
      <c r="V172" s="380"/>
      <c r="W172" s="380"/>
      <c r="X172" s="380"/>
      <c r="Y172" s="380"/>
      <c r="Z172" s="380"/>
      <c r="AA172" s="380"/>
      <c r="AB172" s="380"/>
      <c r="AC172" s="380"/>
      <c r="AD172" s="380"/>
    </row>
    <row r="173" spans="12:30" s="10" customFormat="1" x14ac:dyDescent="0.2">
      <c r="L173" s="380"/>
      <c r="V173" s="380"/>
      <c r="W173" s="380"/>
      <c r="X173" s="380"/>
      <c r="Y173" s="380"/>
      <c r="Z173" s="380"/>
      <c r="AA173" s="380"/>
      <c r="AB173" s="380"/>
      <c r="AC173" s="380"/>
      <c r="AD173" s="380"/>
    </row>
    <row r="174" spans="12:30" s="10" customFormat="1" x14ac:dyDescent="0.2">
      <c r="L174" s="380"/>
      <c r="V174" s="380"/>
      <c r="W174" s="380"/>
      <c r="X174" s="380"/>
      <c r="Y174" s="380"/>
      <c r="Z174" s="380"/>
      <c r="AA174" s="380"/>
      <c r="AB174" s="380"/>
      <c r="AC174" s="380"/>
      <c r="AD174" s="380"/>
    </row>
    <row r="175" spans="12:30" s="10" customFormat="1" x14ac:dyDescent="0.2">
      <c r="L175" s="380"/>
      <c r="V175" s="380"/>
      <c r="W175" s="380"/>
      <c r="X175" s="380"/>
      <c r="Y175" s="380"/>
      <c r="Z175" s="380"/>
      <c r="AA175" s="380"/>
      <c r="AB175" s="380"/>
      <c r="AC175" s="380"/>
      <c r="AD175" s="380"/>
    </row>
    <row r="176" spans="12:30" s="10" customFormat="1" x14ac:dyDescent="0.2">
      <c r="L176" s="380"/>
      <c r="V176" s="380"/>
      <c r="W176" s="380"/>
      <c r="X176" s="380"/>
      <c r="Y176" s="380"/>
      <c r="Z176" s="380"/>
      <c r="AA176" s="380"/>
      <c r="AB176" s="380"/>
      <c r="AC176" s="380"/>
      <c r="AD176" s="380"/>
    </row>
    <row r="177" spans="12:30" s="10" customFormat="1" x14ac:dyDescent="0.2">
      <c r="L177" s="380"/>
      <c r="V177" s="380"/>
      <c r="W177" s="380"/>
      <c r="X177" s="380"/>
      <c r="Y177" s="380"/>
      <c r="Z177" s="380"/>
      <c r="AA177" s="380"/>
      <c r="AB177" s="380"/>
      <c r="AC177" s="380"/>
      <c r="AD177" s="380"/>
    </row>
    <row r="178" spans="12:30" s="10" customFormat="1" x14ac:dyDescent="0.2">
      <c r="L178" s="380"/>
      <c r="V178" s="380"/>
      <c r="W178" s="380"/>
      <c r="X178" s="380"/>
      <c r="Y178" s="380"/>
      <c r="Z178" s="380"/>
      <c r="AA178" s="380"/>
      <c r="AB178" s="380"/>
      <c r="AC178" s="380"/>
      <c r="AD178" s="380"/>
    </row>
    <row r="179" spans="12:30" s="10" customFormat="1" x14ac:dyDescent="0.2">
      <c r="L179" s="380"/>
      <c r="V179" s="380"/>
      <c r="W179" s="380"/>
      <c r="X179" s="380"/>
      <c r="Y179" s="380"/>
      <c r="Z179" s="380"/>
      <c r="AA179" s="380"/>
      <c r="AB179" s="380"/>
      <c r="AC179" s="380"/>
      <c r="AD179" s="380"/>
    </row>
    <row r="180" spans="12:30" s="10" customFormat="1" x14ac:dyDescent="0.2">
      <c r="L180" s="380"/>
      <c r="V180" s="380"/>
      <c r="W180" s="380"/>
      <c r="X180" s="380"/>
      <c r="Y180" s="380"/>
      <c r="Z180" s="380"/>
      <c r="AA180" s="380"/>
      <c r="AB180" s="380"/>
      <c r="AC180" s="380"/>
      <c r="AD180" s="380"/>
    </row>
    <row r="181" spans="12:30" s="10" customFormat="1" x14ac:dyDescent="0.2">
      <c r="L181" s="380"/>
      <c r="V181" s="380"/>
      <c r="W181" s="380"/>
      <c r="X181" s="380"/>
      <c r="Y181" s="380"/>
      <c r="Z181" s="380"/>
      <c r="AA181" s="380"/>
      <c r="AB181" s="380"/>
      <c r="AC181" s="380"/>
      <c r="AD181" s="380"/>
    </row>
    <row r="182" spans="12:30" s="10" customFormat="1" x14ac:dyDescent="0.2">
      <c r="L182" s="380"/>
      <c r="V182" s="380"/>
      <c r="W182" s="380"/>
      <c r="X182" s="380"/>
      <c r="Y182" s="380"/>
      <c r="Z182" s="380"/>
      <c r="AA182" s="380"/>
      <c r="AB182" s="380"/>
      <c r="AC182" s="380"/>
      <c r="AD182" s="380"/>
    </row>
    <row r="183" spans="12:30" s="10" customFormat="1" x14ac:dyDescent="0.2">
      <c r="L183" s="380"/>
      <c r="V183" s="380"/>
      <c r="W183" s="380"/>
      <c r="X183" s="380"/>
      <c r="Y183" s="380"/>
      <c r="Z183" s="380"/>
      <c r="AA183" s="380"/>
      <c r="AB183" s="380"/>
      <c r="AC183" s="380"/>
      <c r="AD183" s="380"/>
    </row>
    <row r="184" spans="12:30" s="10" customFormat="1" x14ac:dyDescent="0.2">
      <c r="L184" s="380"/>
      <c r="V184" s="380"/>
      <c r="W184" s="380"/>
      <c r="X184" s="380"/>
      <c r="Y184" s="380"/>
      <c r="Z184" s="380"/>
      <c r="AA184" s="380"/>
      <c r="AB184" s="380"/>
      <c r="AC184" s="380"/>
      <c r="AD184" s="380"/>
    </row>
    <row r="185" spans="12:30" s="10" customFormat="1" x14ac:dyDescent="0.2">
      <c r="L185" s="380"/>
      <c r="V185" s="380"/>
      <c r="W185" s="380"/>
      <c r="X185" s="380"/>
      <c r="Y185" s="380"/>
      <c r="Z185" s="380"/>
      <c r="AA185" s="380"/>
      <c r="AB185" s="380"/>
      <c r="AC185" s="380"/>
      <c r="AD185" s="380"/>
    </row>
    <row r="186" spans="12:30" s="10" customFormat="1" x14ac:dyDescent="0.2">
      <c r="L186" s="380"/>
      <c r="V186" s="380"/>
      <c r="W186" s="380"/>
      <c r="X186" s="380"/>
      <c r="Y186" s="380"/>
      <c r="Z186" s="380"/>
      <c r="AA186" s="380"/>
      <c r="AB186" s="380"/>
      <c r="AC186" s="380"/>
      <c r="AD186" s="380"/>
    </row>
    <row r="187" spans="12:30" s="10" customFormat="1" x14ac:dyDescent="0.2">
      <c r="L187" s="380"/>
      <c r="V187" s="380"/>
      <c r="W187" s="380"/>
      <c r="X187" s="380"/>
      <c r="Y187" s="380"/>
      <c r="Z187" s="380"/>
      <c r="AA187" s="380"/>
      <c r="AB187" s="380"/>
      <c r="AC187" s="380"/>
      <c r="AD187" s="380"/>
    </row>
    <row r="188" spans="12:30" s="10" customFormat="1" x14ac:dyDescent="0.2">
      <c r="L188" s="380"/>
      <c r="V188" s="380"/>
      <c r="W188" s="380"/>
      <c r="X188" s="380"/>
      <c r="Y188" s="380"/>
      <c r="Z188" s="380"/>
      <c r="AA188" s="380"/>
      <c r="AB188" s="380"/>
      <c r="AC188" s="380"/>
      <c r="AD188" s="380"/>
    </row>
    <row r="189" spans="12:30" s="10" customFormat="1" x14ac:dyDescent="0.2">
      <c r="L189" s="380"/>
      <c r="V189" s="380"/>
      <c r="W189" s="380"/>
      <c r="X189" s="380"/>
      <c r="Y189" s="380"/>
      <c r="Z189" s="380"/>
      <c r="AA189" s="380"/>
      <c r="AB189" s="380"/>
      <c r="AC189" s="380"/>
      <c r="AD189" s="380"/>
    </row>
    <row r="190" spans="12:30" s="10" customFormat="1" x14ac:dyDescent="0.2">
      <c r="L190" s="380"/>
      <c r="V190" s="380"/>
      <c r="W190" s="380"/>
      <c r="X190" s="380"/>
      <c r="Y190" s="380"/>
      <c r="Z190" s="380"/>
      <c r="AA190" s="380"/>
      <c r="AB190" s="380"/>
      <c r="AC190" s="380"/>
      <c r="AD190" s="380"/>
    </row>
    <row r="191" spans="12:30" s="10" customFormat="1" x14ac:dyDescent="0.2">
      <c r="L191" s="380"/>
      <c r="V191" s="380"/>
      <c r="W191" s="380"/>
      <c r="X191" s="380"/>
      <c r="Y191" s="380"/>
      <c r="Z191" s="380"/>
      <c r="AA191" s="380"/>
      <c r="AB191" s="380"/>
      <c r="AC191" s="380"/>
      <c r="AD191" s="380"/>
    </row>
    <row r="192" spans="12:30" s="10" customFormat="1" x14ac:dyDescent="0.2">
      <c r="L192" s="380"/>
      <c r="V192" s="380"/>
      <c r="W192" s="380"/>
      <c r="X192" s="380"/>
      <c r="Y192" s="380"/>
      <c r="Z192" s="380"/>
      <c r="AA192" s="380"/>
      <c r="AB192" s="380"/>
      <c r="AC192" s="380"/>
      <c r="AD192" s="380"/>
    </row>
    <row r="193" spans="12:30" s="10" customFormat="1" x14ac:dyDescent="0.2">
      <c r="L193" s="380"/>
      <c r="V193" s="380"/>
      <c r="W193" s="380"/>
      <c r="X193" s="380"/>
      <c r="Y193" s="380"/>
      <c r="Z193" s="380"/>
      <c r="AA193" s="380"/>
      <c r="AB193" s="380"/>
      <c r="AC193" s="380"/>
      <c r="AD193" s="380"/>
    </row>
    <row r="194" spans="12:30" s="10" customFormat="1" x14ac:dyDescent="0.2">
      <c r="L194" s="380"/>
      <c r="V194" s="380"/>
      <c r="W194" s="380"/>
      <c r="X194" s="380"/>
      <c r="Y194" s="380"/>
      <c r="Z194" s="380"/>
      <c r="AA194" s="380"/>
      <c r="AB194" s="380"/>
      <c r="AC194" s="380"/>
      <c r="AD194" s="380"/>
    </row>
    <row r="195" spans="12:30" s="10" customFormat="1" x14ac:dyDescent="0.2">
      <c r="L195" s="380"/>
      <c r="V195" s="380"/>
      <c r="W195" s="380"/>
      <c r="X195" s="380"/>
      <c r="Y195" s="380"/>
      <c r="Z195" s="380"/>
      <c r="AA195" s="380"/>
      <c r="AB195" s="380"/>
      <c r="AC195" s="380"/>
      <c r="AD195" s="380"/>
    </row>
  </sheetData>
  <mergeCells count="6">
    <mergeCell ref="C123:P124"/>
    <mergeCell ref="D1:K1"/>
    <mergeCell ref="M1:T1"/>
    <mergeCell ref="C56:O57"/>
    <mergeCell ref="V1:AC1"/>
    <mergeCell ref="C121:P122"/>
  </mergeCells>
  <conditionalFormatting sqref="E114:H115 D113:D114 I113:K114">
    <cfRule type="cellIs" dxfId="10" priority="3" stopIfTrue="1" operator="lessThan">
      <formula>0</formula>
    </cfRule>
  </conditionalFormatting>
  <conditionalFormatting sqref="W114:Z115 V113:V114 AA113:AC114">
    <cfRule type="cellIs" dxfId="9"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45" orientation="landscape" horizontalDpi="300" verticalDpi="300" r:id="rId1"/>
  <headerFooter alignWithMargins="0">
    <oddHeader>&amp;L&amp;"Vodafone Rg,Regular"Vodafone Group Plc&amp;C&amp;"Vodafone Rg,Regular"06 Customers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C44"/>
  <sheetViews>
    <sheetView showGridLines="0" zoomScale="85" zoomScaleNormal="85" workbookViewId="0"/>
  </sheetViews>
  <sheetFormatPr defaultRowHeight="12.75" x14ac:dyDescent="0.2"/>
  <cols>
    <col min="1" max="1" width="5.42578125" style="65" customWidth="1"/>
    <col min="2" max="2" width="4.28515625" style="45" customWidth="1"/>
    <col min="3" max="3" width="27.85546875" style="65" customWidth="1"/>
    <col min="4" max="10" width="11.140625" style="242" customWidth="1"/>
    <col min="11" max="11" width="11.140625" style="243" customWidth="1"/>
    <col min="12" max="12" width="2.7109375" style="65" customWidth="1"/>
    <col min="13" max="19" width="9.7109375" style="65" customWidth="1"/>
    <col min="20" max="20" width="9.7109375" style="66" customWidth="1"/>
    <col min="21" max="21" width="2.7109375" style="65" customWidth="1"/>
    <col min="22" max="28" width="9.7109375" style="242" customWidth="1"/>
    <col min="29" max="29" width="9.7109375" style="261" customWidth="1"/>
    <col min="30" max="30" width="4.140625" style="65" customWidth="1"/>
    <col min="31" max="43" width="9.140625" style="65" customWidth="1"/>
    <col min="44" max="256" width="11.42578125" style="65" customWidth="1"/>
    <col min="257" max="16384" width="9.140625" style="65"/>
  </cols>
  <sheetData>
    <row r="1" spans="1:11" x14ac:dyDescent="0.2">
      <c r="A1" s="688" t="s">
        <v>414</v>
      </c>
      <c r="B1" s="21"/>
      <c r="D1" s="856"/>
      <c r="E1" s="857"/>
      <c r="F1" s="857"/>
      <c r="G1" s="857"/>
      <c r="H1" s="857"/>
      <c r="I1" s="857"/>
      <c r="J1" s="857"/>
      <c r="K1" s="857"/>
    </row>
    <row r="2" spans="1:11" s="192" customFormat="1" ht="12.75" customHeight="1" x14ac:dyDescent="0.2">
      <c r="B2" s="245"/>
      <c r="D2" s="246" t="s">
        <v>8</v>
      </c>
      <c r="E2" s="246" t="s">
        <v>9</v>
      </c>
      <c r="F2" s="246" t="s">
        <v>10</v>
      </c>
      <c r="G2" s="246" t="s">
        <v>11</v>
      </c>
      <c r="H2" s="201" t="s">
        <v>12</v>
      </c>
      <c r="I2" s="247" t="s">
        <v>13</v>
      </c>
      <c r="J2" s="247" t="s">
        <v>296</v>
      </c>
      <c r="K2" s="385" t="s">
        <v>402</v>
      </c>
    </row>
    <row r="3" spans="1:11" s="192" customFormat="1" ht="12.75" customHeight="1" x14ac:dyDescent="0.2">
      <c r="B3" s="45"/>
      <c r="D3" s="15"/>
      <c r="E3" s="15"/>
      <c r="F3" s="15"/>
      <c r="G3" s="15"/>
      <c r="H3" s="201"/>
      <c r="I3" s="75"/>
      <c r="J3" s="75"/>
      <c r="K3" s="385"/>
    </row>
    <row r="4" spans="1:11" s="192" customFormat="1" ht="3.95" customHeight="1" x14ac:dyDescent="0.2">
      <c r="B4" s="196"/>
      <c r="D4" s="15"/>
      <c r="E4" s="15"/>
      <c r="F4" s="15"/>
      <c r="G4" s="15"/>
      <c r="H4" s="201"/>
      <c r="I4" s="75"/>
      <c r="J4" s="75"/>
      <c r="K4" s="385"/>
    </row>
    <row r="5" spans="1:11" ht="12.75" customHeight="1" x14ac:dyDescent="0.2">
      <c r="B5" s="248" t="s">
        <v>29</v>
      </c>
      <c r="D5" s="249"/>
      <c r="E5" s="249"/>
      <c r="F5" s="249"/>
      <c r="G5" s="250"/>
      <c r="H5" s="250"/>
      <c r="I5" s="251"/>
      <c r="J5" s="251"/>
      <c r="K5" s="758"/>
    </row>
    <row r="6" spans="1:11" ht="12.75" customHeight="1" x14ac:dyDescent="0.2">
      <c r="C6" s="65" t="s">
        <v>22</v>
      </c>
      <c r="D6" s="251">
        <v>0.28899999999999998</v>
      </c>
      <c r="E6" s="73">
        <v>0.28999999999999998</v>
      </c>
      <c r="F6" s="73">
        <v>0.35799999999999998</v>
      </c>
      <c r="G6" s="251">
        <v>0.39800000000000002</v>
      </c>
      <c r="H6" s="250">
        <v>0.26500000000000001</v>
      </c>
      <c r="I6" s="250">
        <v>0.26400000000000001</v>
      </c>
      <c r="J6" s="250">
        <v>0.25600000000000001</v>
      </c>
      <c r="K6" s="758">
        <v>0.254</v>
      </c>
    </row>
    <row r="7" spans="1:11" ht="12.75" customHeight="1" x14ac:dyDescent="0.2">
      <c r="C7" s="65" t="s">
        <v>20</v>
      </c>
      <c r="D7" s="251">
        <v>0.13200000000000001</v>
      </c>
      <c r="E7" s="73">
        <v>0.14299999999999999</v>
      </c>
      <c r="F7" s="73">
        <v>0.17499999999999999</v>
      </c>
      <c r="G7" s="251">
        <v>0.16400000000000001</v>
      </c>
      <c r="H7" s="250">
        <v>0.16</v>
      </c>
      <c r="I7" s="250">
        <v>0.16400000000000001</v>
      </c>
      <c r="J7" s="250">
        <v>0.16600000000000001</v>
      </c>
      <c r="K7" s="758">
        <v>0.159</v>
      </c>
    </row>
    <row r="8" spans="1:11" ht="12.75" customHeight="1" x14ac:dyDescent="0.2">
      <c r="C8" s="65" t="s">
        <v>170</v>
      </c>
      <c r="D8" s="251">
        <v>0.40899999999999997</v>
      </c>
      <c r="E8" s="73">
        <v>0.40600000000000003</v>
      </c>
      <c r="F8" s="73">
        <v>0.50900000000000001</v>
      </c>
      <c r="G8" s="251">
        <v>0.60399999999999998</v>
      </c>
      <c r="H8" s="250">
        <v>0.36099999999999999</v>
      </c>
      <c r="I8" s="250">
        <v>0.35699999999999998</v>
      </c>
      <c r="J8" s="250">
        <v>0.33900000000000002</v>
      </c>
      <c r="K8" s="758">
        <v>0.34200000000000003</v>
      </c>
    </row>
    <row r="9" spans="1:11" ht="4.5" customHeight="1" x14ac:dyDescent="0.2">
      <c r="D9" s="251"/>
      <c r="E9" s="73"/>
      <c r="F9" s="73"/>
      <c r="G9" s="251"/>
      <c r="H9" s="250"/>
      <c r="I9" s="250"/>
      <c r="J9" s="250"/>
      <c r="K9" s="758"/>
    </row>
    <row r="10" spans="1:11" ht="12.75" customHeight="1" x14ac:dyDescent="0.2">
      <c r="B10" s="45" t="s">
        <v>171</v>
      </c>
      <c r="D10" s="247"/>
      <c r="E10" s="247"/>
      <c r="F10" s="247"/>
      <c r="G10" s="252"/>
      <c r="H10" s="201"/>
      <c r="I10" s="201"/>
      <c r="J10" s="201"/>
      <c r="K10" s="385"/>
    </row>
    <row r="11" spans="1:11" ht="12.75" customHeight="1" x14ac:dyDescent="0.2">
      <c r="C11" s="65" t="s">
        <v>22</v>
      </c>
      <c r="D11" s="251">
        <v>0.30599999999999999</v>
      </c>
      <c r="E11" s="73">
        <v>0.32800000000000001</v>
      </c>
      <c r="F11" s="73">
        <v>0.35899999999999999</v>
      </c>
      <c r="G11" s="251">
        <v>0.375</v>
      </c>
      <c r="H11" s="250">
        <v>0.373</v>
      </c>
      <c r="I11" s="250">
        <v>0.41299999999999998</v>
      </c>
      <c r="J11" s="250">
        <v>0.34799999999999998</v>
      </c>
      <c r="K11" s="758">
        <v>0.36099999999999999</v>
      </c>
    </row>
    <row r="12" spans="1:11" ht="12.75" customHeight="1" x14ac:dyDescent="0.2">
      <c r="C12" s="65" t="s">
        <v>20</v>
      </c>
      <c r="D12" s="251">
        <v>0.24199999999999999</v>
      </c>
      <c r="E12" s="73">
        <v>0.223</v>
      </c>
      <c r="F12" s="73">
        <v>0.26100000000000001</v>
      </c>
      <c r="G12" s="251">
        <v>0.249</v>
      </c>
      <c r="H12" s="250">
        <v>0.26200000000000001</v>
      </c>
      <c r="I12" s="250">
        <v>0.22900000000000001</v>
      </c>
      <c r="J12" s="250">
        <v>0.23200000000000001</v>
      </c>
      <c r="K12" s="758">
        <v>0.23599999999999999</v>
      </c>
    </row>
    <row r="13" spans="1:11" ht="12.75" customHeight="1" x14ac:dyDescent="0.2">
      <c r="C13" s="65" t="s">
        <v>170</v>
      </c>
      <c r="D13" s="251">
        <v>0.31900000000000001</v>
      </c>
      <c r="E13" s="73">
        <v>0.35099999999999998</v>
      </c>
      <c r="F13" s="73">
        <v>0.38100000000000001</v>
      </c>
      <c r="G13" s="251">
        <v>0.40300000000000002</v>
      </c>
      <c r="H13" s="250">
        <v>0.39800000000000002</v>
      </c>
      <c r="I13" s="250">
        <v>0.45500000000000002</v>
      </c>
      <c r="J13" s="250">
        <v>0.375</v>
      </c>
      <c r="K13" s="758">
        <v>0.38900000000000001</v>
      </c>
    </row>
    <row r="14" spans="1:11" ht="3.95" customHeight="1" x14ac:dyDescent="0.2">
      <c r="D14" s="251"/>
      <c r="E14" s="251"/>
      <c r="F14" s="251"/>
      <c r="G14" s="251"/>
      <c r="H14" s="250"/>
      <c r="I14" s="250"/>
      <c r="J14" s="250"/>
      <c r="K14" s="758"/>
    </row>
    <row r="15" spans="1:11" ht="12.75" customHeight="1" x14ac:dyDescent="0.2">
      <c r="B15" s="45" t="s">
        <v>31</v>
      </c>
      <c r="D15" s="75"/>
      <c r="E15" s="75"/>
      <c r="F15" s="75"/>
      <c r="G15" s="252"/>
      <c r="H15" s="201"/>
      <c r="I15" s="201"/>
      <c r="J15" s="201"/>
      <c r="K15" s="385"/>
    </row>
    <row r="16" spans="1:11" ht="12.75" customHeight="1" x14ac:dyDescent="0.2">
      <c r="C16" s="65" t="s">
        <v>22</v>
      </c>
      <c r="D16" s="251">
        <v>0.375</v>
      </c>
      <c r="E16" s="73">
        <v>0.34899999999999998</v>
      </c>
      <c r="F16" s="73">
        <v>0.35499999999999998</v>
      </c>
      <c r="G16" s="251">
        <v>0.34699999999999998</v>
      </c>
      <c r="H16" s="250">
        <v>0.27900000000000003</v>
      </c>
      <c r="I16" s="250">
        <v>0.248</v>
      </c>
      <c r="J16" s="250">
        <v>0.32400000000000001</v>
      </c>
      <c r="K16" s="758">
        <v>0.223</v>
      </c>
    </row>
    <row r="17" spans="2:11" ht="12.75" customHeight="1" x14ac:dyDescent="0.2">
      <c r="C17" s="65" t="s">
        <v>20</v>
      </c>
      <c r="D17" s="251">
        <v>0.16300000000000001</v>
      </c>
      <c r="E17" s="73">
        <v>0.16500000000000001</v>
      </c>
      <c r="F17" s="73">
        <v>0.17899999999999999</v>
      </c>
      <c r="G17" s="251">
        <v>0.16600000000000001</v>
      </c>
      <c r="H17" s="250">
        <v>0.17100000000000001</v>
      </c>
      <c r="I17" s="250">
        <v>0.16600000000000001</v>
      </c>
      <c r="J17" s="250">
        <v>0.16900000000000001</v>
      </c>
      <c r="K17" s="758">
        <v>0.16200000000000001</v>
      </c>
    </row>
    <row r="18" spans="2:11" ht="12.75" customHeight="1" x14ac:dyDescent="0.2">
      <c r="B18" s="21"/>
      <c r="C18" s="65" t="s">
        <v>170</v>
      </c>
      <c r="D18" s="251">
        <v>0.627</v>
      </c>
      <c r="E18" s="73">
        <v>0.57699999999999996</v>
      </c>
      <c r="F18" s="73">
        <v>0.58199999999999996</v>
      </c>
      <c r="G18" s="251">
        <v>0.59</v>
      </c>
      <c r="H18" s="250">
        <v>0.42799999999999999</v>
      </c>
      <c r="I18" s="250">
        <v>0.36199999999999999</v>
      </c>
      <c r="J18" s="250">
        <v>0.54100000000000004</v>
      </c>
      <c r="K18" s="758">
        <v>0.312</v>
      </c>
    </row>
    <row r="19" spans="2:11" ht="3.95" customHeight="1" x14ac:dyDescent="0.2">
      <c r="D19" s="251"/>
      <c r="E19" s="251"/>
      <c r="F19" s="251"/>
      <c r="G19" s="251"/>
      <c r="H19" s="250"/>
      <c r="I19" s="250"/>
      <c r="J19" s="250"/>
      <c r="K19" s="758"/>
    </row>
    <row r="20" spans="2:11" ht="12.75" customHeight="1" x14ac:dyDescent="0.2">
      <c r="B20" s="248" t="s">
        <v>36</v>
      </c>
      <c r="D20" s="247"/>
      <c r="E20" s="247"/>
      <c r="F20" s="247"/>
      <c r="G20" s="252"/>
      <c r="H20" s="201"/>
      <c r="I20" s="201"/>
      <c r="J20" s="201"/>
      <c r="K20" s="385"/>
    </row>
    <row r="21" spans="2:11" ht="12.75" customHeight="1" x14ac:dyDescent="0.2">
      <c r="C21" s="65" t="s">
        <v>22</v>
      </c>
      <c r="D21" s="251">
        <v>0.34</v>
      </c>
      <c r="E21" s="73">
        <v>0.39900000000000002</v>
      </c>
      <c r="F21" s="73">
        <v>0.46400000000000002</v>
      </c>
      <c r="G21" s="251">
        <v>0.503</v>
      </c>
      <c r="H21" s="250">
        <v>0.309</v>
      </c>
      <c r="I21" s="250">
        <v>0.313</v>
      </c>
      <c r="J21" s="250">
        <v>0.31900000000000001</v>
      </c>
      <c r="K21" s="758">
        <v>0.316</v>
      </c>
    </row>
    <row r="22" spans="2:11" ht="12.75" customHeight="1" x14ac:dyDescent="0.2">
      <c r="C22" s="65" t="s">
        <v>20</v>
      </c>
      <c r="D22" s="251">
        <v>0.20599999999999999</v>
      </c>
      <c r="E22" s="73">
        <v>0.224</v>
      </c>
      <c r="F22" s="73">
        <v>0.255</v>
      </c>
      <c r="G22" s="251">
        <v>0.27</v>
      </c>
      <c r="H22" s="250">
        <v>0.23300000000000001</v>
      </c>
      <c r="I22" s="250">
        <v>0.20499999999999999</v>
      </c>
      <c r="J22" s="250">
        <v>0.20300000000000001</v>
      </c>
      <c r="K22" s="758">
        <v>0.219</v>
      </c>
    </row>
    <row r="23" spans="2:11" ht="12.75" customHeight="1" x14ac:dyDescent="0.2">
      <c r="C23" s="65" t="s">
        <v>170</v>
      </c>
      <c r="D23" s="251">
        <v>0.54800000000000004</v>
      </c>
      <c r="E23" s="73">
        <v>0.68300000000000005</v>
      </c>
      <c r="F23" s="73">
        <v>0.83399999999999996</v>
      </c>
      <c r="G23" s="251">
        <v>0.95399999999999996</v>
      </c>
      <c r="H23" s="250">
        <v>0.46800000000000003</v>
      </c>
      <c r="I23" s="250">
        <v>0.54600000000000004</v>
      </c>
      <c r="J23" s="250">
        <v>0.57699999999999996</v>
      </c>
      <c r="K23" s="758">
        <v>0.54400000000000004</v>
      </c>
    </row>
    <row r="24" spans="2:11" ht="3.95" customHeight="1" x14ac:dyDescent="0.2">
      <c r="B24" s="21"/>
      <c r="D24" s="251"/>
      <c r="E24" s="251"/>
      <c r="F24" s="251"/>
      <c r="G24" s="251"/>
      <c r="H24" s="250"/>
      <c r="I24" s="250"/>
      <c r="J24" s="250"/>
      <c r="K24" s="758"/>
    </row>
    <row r="25" spans="2:11" ht="12.75" customHeight="1" x14ac:dyDescent="0.2">
      <c r="B25" s="45" t="s">
        <v>132</v>
      </c>
      <c r="D25" s="247"/>
      <c r="E25" s="247"/>
      <c r="F25" s="247"/>
      <c r="G25" s="252"/>
      <c r="H25" s="201"/>
      <c r="I25" s="201"/>
      <c r="J25" s="201"/>
      <c r="K25" s="385"/>
    </row>
    <row r="26" spans="2:11" ht="12.75" customHeight="1" x14ac:dyDescent="0.2">
      <c r="C26" s="65" t="s">
        <v>22</v>
      </c>
      <c r="D26" s="251">
        <v>0.73699999999999999</v>
      </c>
      <c r="E26" s="73">
        <v>0.75800000000000001</v>
      </c>
      <c r="F26" s="73">
        <v>0.63400000000000001</v>
      </c>
      <c r="G26" s="251">
        <v>0.47</v>
      </c>
      <c r="H26" s="250">
        <v>0.49</v>
      </c>
      <c r="I26" s="250">
        <v>0.53100000000000003</v>
      </c>
      <c r="J26" s="250">
        <v>0.45500000000000002</v>
      </c>
      <c r="K26" s="758">
        <v>0.434</v>
      </c>
    </row>
    <row r="27" spans="2:11" ht="12.75" customHeight="1" x14ac:dyDescent="0.2">
      <c r="C27" s="65" t="s">
        <v>20</v>
      </c>
      <c r="D27" s="251">
        <v>0.21299999999999999</v>
      </c>
      <c r="E27" s="73">
        <v>0.20699999999999999</v>
      </c>
      <c r="F27" s="73">
        <v>0.189</v>
      </c>
      <c r="G27" s="251">
        <v>0.182</v>
      </c>
      <c r="H27" s="250">
        <v>0.184</v>
      </c>
      <c r="I27" s="250">
        <v>0.18</v>
      </c>
      <c r="J27" s="250">
        <v>0.184</v>
      </c>
      <c r="K27" s="758">
        <v>0.191</v>
      </c>
    </row>
    <row r="28" spans="2:11" ht="12.75" customHeight="1" x14ac:dyDescent="0.2">
      <c r="B28" s="21"/>
      <c r="C28" s="65" t="s">
        <v>170</v>
      </c>
      <c r="D28" s="251">
        <v>0.76500000000000001</v>
      </c>
      <c r="E28" s="73">
        <v>0.78700000000000003</v>
      </c>
      <c r="F28" s="73">
        <v>0.65900000000000003</v>
      </c>
      <c r="G28" s="251">
        <v>0.48699999999999999</v>
      </c>
      <c r="H28" s="250">
        <v>0.50800000000000001</v>
      </c>
      <c r="I28" s="250">
        <v>0.55400000000000005</v>
      </c>
      <c r="J28" s="250">
        <v>0.47299999999999998</v>
      </c>
      <c r="K28" s="758">
        <v>0.45100000000000001</v>
      </c>
    </row>
    <row r="29" spans="2:11" ht="3.95" customHeight="1" x14ac:dyDescent="0.2">
      <c r="B29" s="21"/>
      <c r="D29" s="251"/>
      <c r="E29" s="251"/>
      <c r="F29" s="251"/>
      <c r="G29" s="251"/>
      <c r="H29" s="250"/>
      <c r="I29" s="250"/>
      <c r="J29" s="250"/>
      <c r="K29" s="758"/>
    </row>
    <row r="30" spans="2:11" ht="12.75" customHeight="1" x14ac:dyDescent="0.2">
      <c r="B30" s="248" t="s">
        <v>172</v>
      </c>
      <c r="D30" s="247"/>
      <c r="E30" s="247"/>
      <c r="F30" s="247"/>
      <c r="G30" s="252"/>
      <c r="H30" s="201"/>
      <c r="I30" s="201"/>
      <c r="J30" s="201"/>
      <c r="K30" s="385"/>
    </row>
    <row r="31" spans="2:11" ht="12.75" customHeight="1" x14ac:dyDescent="0.2">
      <c r="C31" s="65" t="s">
        <v>22</v>
      </c>
      <c r="D31" s="251">
        <v>0.48799999999999999</v>
      </c>
      <c r="E31" s="73">
        <v>0.56499999999999995</v>
      </c>
      <c r="F31" s="73">
        <v>0.57299999999999995</v>
      </c>
      <c r="G31" s="251">
        <v>0.64500000000000002</v>
      </c>
      <c r="H31" s="250">
        <v>0.60599999999999998</v>
      </c>
      <c r="I31" s="250">
        <v>0.62</v>
      </c>
      <c r="J31" s="250">
        <v>0.57799999999999996</v>
      </c>
      <c r="K31" s="758">
        <v>0.55900000000000005</v>
      </c>
    </row>
    <row r="32" spans="2:11" ht="12.75" customHeight="1" x14ac:dyDescent="0.2">
      <c r="C32" s="65" t="s">
        <v>20</v>
      </c>
      <c r="D32" s="251">
        <v>0.107</v>
      </c>
      <c r="E32" s="73">
        <v>0.109</v>
      </c>
      <c r="F32" s="73">
        <v>9.6000000000000002E-2</v>
      </c>
      <c r="G32" s="251">
        <v>0.12</v>
      </c>
      <c r="H32" s="250">
        <v>0.11799999999999999</v>
      </c>
      <c r="I32" s="250">
        <v>0.126</v>
      </c>
      <c r="J32" s="250">
        <v>0.114</v>
      </c>
      <c r="K32" s="758">
        <v>0.11799999999999999</v>
      </c>
    </row>
    <row r="33" spans="2:12" ht="12.75" customHeight="1" x14ac:dyDescent="0.2">
      <c r="B33" s="21"/>
      <c r="C33" s="65" t="s">
        <v>170</v>
      </c>
      <c r="D33" s="251">
        <v>0.53200000000000003</v>
      </c>
      <c r="E33" s="73">
        <v>0.61699999999999999</v>
      </c>
      <c r="F33" s="73">
        <v>0.627</v>
      </c>
      <c r="G33" s="251">
        <v>0.70499999999999996</v>
      </c>
      <c r="H33" s="250">
        <v>0.65100000000000002</v>
      </c>
      <c r="I33" s="250">
        <v>0.66500000000000004</v>
      </c>
      <c r="J33" s="250">
        <v>0.61899999999999999</v>
      </c>
      <c r="K33" s="758">
        <v>0.59599999999999997</v>
      </c>
    </row>
    <row r="34" spans="2:12" ht="12.75" customHeight="1" x14ac:dyDescent="0.2">
      <c r="B34" s="253" t="s">
        <v>148</v>
      </c>
      <c r="C34" s="254"/>
      <c r="D34" s="251"/>
      <c r="E34" s="251"/>
      <c r="F34" s="251"/>
      <c r="G34" s="251"/>
      <c r="H34" s="250"/>
      <c r="I34" s="250"/>
      <c r="J34" s="250"/>
      <c r="K34" s="758"/>
    </row>
    <row r="35" spans="2:12" ht="12.75" customHeight="1" x14ac:dyDescent="0.2">
      <c r="B35" s="254"/>
      <c r="C35" s="254" t="s">
        <v>22</v>
      </c>
      <c r="D35" s="251">
        <v>0.434</v>
      </c>
      <c r="E35" s="73">
        <v>0.35099999999999998</v>
      </c>
      <c r="F35" s="73">
        <v>0.36499999999999999</v>
      </c>
      <c r="G35" s="251">
        <v>0.41</v>
      </c>
      <c r="H35" s="250">
        <v>0.40899999999999997</v>
      </c>
      <c r="I35" s="250">
        <v>0.317</v>
      </c>
      <c r="J35" s="250">
        <v>0.34399999999999997</v>
      </c>
      <c r="K35" s="758">
        <v>0.374</v>
      </c>
    </row>
    <row r="36" spans="2:12" ht="12.75" customHeight="1" x14ac:dyDescent="0.2">
      <c r="B36" s="254"/>
      <c r="C36" s="254" t="s">
        <v>20</v>
      </c>
      <c r="D36" s="251">
        <v>0.27300000000000002</v>
      </c>
      <c r="E36" s="73">
        <v>0.22700000000000001</v>
      </c>
      <c r="F36" s="73">
        <v>0.27100000000000002</v>
      </c>
      <c r="G36" s="251">
        <v>0.28199999999999997</v>
      </c>
      <c r="H36" s="250">
        <v>0.27300000000000002</v>
      </c>
      <c r="I36" s="250">
        <v>0.22</v>
      </c>
      <c r="J36" s="250">
        <v>0.28100000000000003</v>
      </c>
      <c r="K36" s="758">
        <v>0.29399999999999998</v>
      </c>
    </row>
    <row r="37" spans="2:12" ht="12.75" customHeight="1" x14ac:dyDescent="0.2">
      <c r="B37" s="255"/>
      <c r="C37" s="254" t="s">
        <v>170</v>
      </c>
      <c r="D37" s="251">
        <v>0.51600000000000001</v>
      </c>
      <c r="E37" s="73">
        <v>0.41599999999999998</v>
      </c>
      <c r="F37" s="73">
        <v>0.41499999999999998</v>
      </c>
      <c r="G37" s="251">
        <v>0.47899999999999998</v>
      </c>
      <c r="H37" s="250">
        <v>0.48399999999999999</v>
      </c>
      <c r="I37" s="250">
        <v>0.372</v>
      </c>
      <c r="J37" s="250">
        <v>0.38100000000000001</v>
      </c>
      <c r="K37" s="758">
        <v>0.42199999999999999</v>
      </c>
    </row>
    <row r="38" spans="2:12" ht="3.95" customHeight="1" x14ac:dyDescent="0.2">
      <c r="D38" s="251"/>
      <c r="E38" s="251"/>
      <c r="F38" s="251"/>
      <c r="G38" s="251"/>
      <c r="H38" s="250"/>
      <c r="I38" s="250"/>
      <c r="J38" s="250"/>
      <c r="K38" s="250"/>
    </row>
    <row r="39" spans="2:12" ht="3.95" customHeight="1" x14ac:dyDescent="0.2">
      <c r="B39" s="21"/>
      <c r="D39" s="256"/>
      <c r="E39" s="256"/>
      <c r="F39" s="256"/>
      <c r="G39" s="256"/>
      <c r="H39" s="256"/>
      <c r="I39" s="256"/>
      <c r="J39" s="256"/>
      <c r="K39" s="257"/>
    </row>
    <row r="40" spans="2:12" ht="3.95" customHeight="1" x14ac:dyDescent="0.2">
      <c r="D40" s="258"/>
      <c r="E40" s="258"/>
      <c r="F40" s="258"/>
      <c r="G40" s="258"/>
      <c r="H40" s="258"/>
      <c r="I40" s="258"/>
      <c r="J40" s="258"/>
      <c r="K40" s="259"/>
    </row>
    <row r="41" spans="2:12" ht="12.75" customHeight="1" x14ac:dyDescent="0.2">
      <c r="B41" s="10" t="s">
        <v>97</v>
      </c>
      <c r="C41" s="45"/>
      <c r="D41" s="260"/>
      <c r="E41" s="260"/>
      <c r="F41" s="260"/>
      <c r="G41" s="260"/>
      <c r="H41" s="65"/>
      <c r="I41" s="65"/>
      <c r="J41" s="65"/>
      <c r="K41" s="45"/>
    </row>
    <row r="42" spans="2:12" ht="12.75" customHeight="1" x14ac:dyDescent="0.2">
      <c r="B42" s="165" t="s">
        <v>41</v>
      </c>
      <c r="C42" s="830" t="s">
        <v>173</v>
      </c>
      <c r="D42" s="821"/>
      <c r="E42" s="821"/>
      <c r="F42" s="821"/>
      <c r="G42" s="821"/>
      <c r="H42" s="821"/>
      <c r="I42" s="821"/>
      <c r="J42" s="821"/>
      <c r="K42" s="821"/>
    </row>
    <row r="43" spans="2:12" ht="12.75" customHeight="1" x14ac:dyDescent="0.2">
      <c r="B43" s="165"/>
      <c r="C43" s="855"/>
      <c r="D43" s="821"/>
      <c r="E43" s="821"/>
      <c r="F43" s="821"/>
      <c r="G43" s="821"/>
      <c r="H43" s="821"/>
      <c r="I43" s="821"/>
      <c r="J43" s="821"/>
      <c r="K43" s="821"/>
      <c r="L43" s="821"/>
    </row>
    <row r="44" spans="2:12" ht="12.75" customHeight="1" x14ac:dyDescent="0.2">
      <c r="C44" s="821"/>
      <c r="D44" s="821"/>
      <c r="E44" s="821"/>
      <c r="F44" s="821"/>
      <c r="G44" s="821"/>
      <c r="H44" s="821"/>
      <c r="I44" s="821"/>
      <c r="J44" s="821"/>
      <c r="K44" s="821"/>
      <c r="L44" s="821"/>
    </row>
  </sheetData>
  <sheetProtection formatCells="0" formatColumns="0" formatRows="0" sort="0" autoFilter="0" pivotTables="0"/>
  <mergeCells count="3">
    <mergeCell ref="C43:L44"/>
    <mergeCell ref="C42:K42"/>
    <mergeCell ref="D1:K1"/>
  </mergeCells>
  <conditionalFormatting sqref="V55:V56 V126:V127 K126:K127 E127:J128 D126:D127 D55:K56">
    <cfRule type="cellIs" dxfId="8"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9" orientation="portrait" horizontalDpi="300" verticalDpi="300"/>
  <headerFooter alignWithMargins="0">
    <oddHeader>&amp;L&amp;"Vodafone Rg,Regular"Vodafone Group Plc&amp;C&amp;"Vodafone Rg,Regular"07 Churn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36"/>
  <sheetViews>
    <sheetView showGridLines="0" zoomScale="85" zoomScaleNormal="85" workbookViewId="0">
      <selection activeCell="L4" sqref="L4:L12"/>
    </sheetView>
  </sheetViews>
  <sheetFormatPr defaultRowHeight="12.75" x14ac:dyDescent="0.2"/>
  <cols>
    <col min="1" max="1" width="5.42578125" style="65" customWidth="1"/>
    <col min="2" max="2" width="4.28515625" style="45" customWidth="1"/>
    <col min="3" max="3" width="27.7109375" style="65" customWidth="1"/>
    <col min="4" max="4" width="9.42578125" style="65" customWidth="1"/>
    <col min="5" max="6" width="11.140625" style="242" customWidth="1"/>
    <col min="7" max="7" width="10.42578125" style="242" customWidth="1"/>
    <col min="8" max="8" width="10.28515625" style="242" customWidth="1"/>
    <col min="9" max="11" width="11.140625" style="242" customWidth="1"/>
    <col min="12" max="12" width="11.140625" style="243" customWidth="1"/>
    <col min="13" max="13" width="11.140625" style="242" customWidth="1"/>
    <col min="14" max="14" width="4.140625" style="65" customWidth="1"/>
    <col min="15" max="22" width="10.28515625" style="65" customWidth="1"/>
    <col min="23" max="23" width="4.140625" style="65" customWidth="1"/>
    <col min="24" max="24" width="9.85546875" style="242" customWidth="1"/>
    <col min="25" max="27" width="10.28515625" style="242" customWidth="1"/>
    <col min="28" max="28" width="9.85546875" style="242" customWidth="1"/>
    <col min="29" max="31" width="10.28515625" style="242" customWidth="1"/>
    <col min="32" max="33" width="4.140625" style="65" customWidth="1"/>
    <col min="34" max="55" width="9.140625" style="65" customWidth="1"/>
    <col min="56" max="256" width="11.42578125" style="65" customWidth="1"/>
    <col min="257" max="16384" width="9.140625" style="65"/>
  </cols>
  <sheetData>
    <row r="1" spans="1:13" s="10" customFormat="1" ht="13.5" customHeight="1" x14ac:dyDescent="0.2">
      <c r="A1" s="688" t="s">
        <v>414</v>
      </c>
      <c r="B1" s="13"/>
      <c r="E1" s="858" t="s">
        <v>447</v>
      </c>
      <c r="F1" s="858"/>
      <c r="G1" s="858"/>
      <c r="H1" s="858"/>
      <c r="I1" s="858"/>
      <c r="J1" s="858"/>
      <c r="K1" s="858"/>
      <c r="L1" s="858"/>
      <c r="M1" s="262"/>
    </row>
    <row r="2" spans="1:13" s="192" customFormat="1" ht="12.75" customHeight="1" x14ac:dyDescent="0.2">
      <c r="B2" s="263"/>
      <c r="E2" s="246" t="s">
        <v>8</v>
      </c>
      <c r="F2" s="246" t="s">
        <v>9</v>
      </c>
      <c r="G2" s="246" t="s">
        <v>10</v>
      </c>
      <c r="H2" s="246" t="s">
        <v>11</v>
      </c>
      <c r="I2" s="201" t="s">
        <v>12</v>
      </c>
      <c r="J2" s="247" t="s">
        <v>13</v>
      </c>
      <c r="K2" s="247" t="s">
        <v>296</v>
      </c>
      <c r="L2" s="385" t="s">
        <v>402</v>
      </c>
      <c r="M2" s="264"/>
    </row>
    <row r="3" spans="1:13" ht="14.25" customHeight="1" x14ac:dyDescent="0.2">
      <c r="B3" s="21" t="s">
        <v>292</v>
      </c>
      <c r="E3" s="265"/>
      <c r="F3" s="265"/>
      <c r="G3" s="265"/>
      <c r="H3" s="265"/>
      <c r="I3" s="266"/>
      <c r="J3" s="267"/>
      <c r="K3" s="267"/>
      <c r="L3" s="386"/>
      <c r="M3" s="269"/>
    </row>
    <row r="4" spans="1:13" ht="12.75" customHeight="1" x14ac:dyDescent="0.2">
      <c r="B4" s="21"/>
      <c r="C4" s="65" t="s">
        <v>29</v>
      </c>
      <c r="E4" s="228">
        <v>14250</v>
      </c>
      <c r="F4" s="226">
        <v>14396</v>
      </c>
      <c r="G4" s="226">
        <v>14830</v>
      </c>
      <c r="H4" s="228">
        <v>14706</v>
      </c>
      <c r="I4" s="228">
        <v>15336</v>
      </c>
      <c r="J4" s="228">
        <v>15078</v>
      </c>
      <c r="K4" s="228">
        <v>15342</v>
      </c>
      <c r="L4" s="383">
        <v>15124</v>
      </c>
      <c r="M4" s="269"/>
    </row>
    <row r="5" spans="1:13" s="66" customFormat="1" ht="12.75" customHeight="1" x14ac:dyDescent="0.2">
      <c r="C5" s="202" t="s">
        <v>441</v>
      </c>
      <c r="D5" s="202"/>
      <c r="E5" s="226">
        <v>11893</v>
      </c>
      <c r="F5" s="226">
        <v>11607</v>
      </c>
      <c r="G5" s="226">
        <v>12485</v>
      </c>
      <c r="H5" s="226">
        <v>12578</v>
      </c>
      <c r="I5" s="226">
        <v>13227</v>
      </c>
      <c r="J5" s="226">
        <v>13289</v>
      </c>
      <c r="K5" s="226">
        <v>14064</v>
      </c>
      <c r="L5" s="759">
        <v>15741</v>
      </c>
      <c r="M5" s="262"/>
    </row>
    <row r="6" spans="1:13" ht="12.75" customHeight="1" x14ac:dyDescent="0.2">
      <c r="B6" s="21"/>
      <c r="C6" s="65" t="s">
        <v>31</v>
      </c>
      <c r="E6" s="228">
        <v>10612</v>
      </c>
      <c r="F6" s="226">
        <v>10454</v>
      </c>
      <c r="G6" s="226">
        <v>10697</v>
      </c>
      <c r="H6" s="228">
        <v>10724</v>
      </c>
      <c r="I6" s="228">
        <v>10371</v>
      </c>
      <c r="J6" s="228">
        <v>10752</v>
      </c>
      <c r="K6" s="228">
        <v>10962</v>
      </c>
      <c r="L6" s="383">
        <v>10919</v>
      </c>
      <c r="M6" s="269"/>
    </row>
    <row r="7" spans="1:13" s="66" customFormat="1" ht="12.75" customHeight="1" x14ac:dyDescent="0.2">
      <c r="B7" s="79"/>
      <c r="C7" s="395" t="s">
        <v>36</v>
      </c>
      <c r="E7" s="228">
        <v>8723</v>
      </c>
      <c r="F7" s="226">
        <v>9107</v>
      </c>
      <c r="G7" s="226">
        <v>9244</v>
      </c>
      <c r="H7" s="228">
        <v>8838</v>
      </c>
      <c r="I7" s="228">
        <v>9294</v>
      </c>
      <c r="J7" s="228">
        <v>8224</v>
      </c>
      <c r="K7" s="228">
        <v>8201</v>
      </c>
      <c r="L7" s="383">
        <v>8118</v>
      </c>
      <c r="M7" s="269"/>
    </row>
    <row r="8" spans="1:13" ht="12.75" customHeight="1" x14ac:dyDescent="0.2">
      <c r="B8" s="21"/>
      <c r="C8" s="65" t="s">
        <v>147</v>
      </c>
      <c r="E8" s="228">
        <v>2902</v>
      </c>
      <c r="F8" s="226">
        <v>2807</v>
      </c>
      <c r="G8" s="226">
        <v>3023</v>
      </c>
      <c r="H8" s="228">
        <v>2982</v>
      </c>
      <c r="I8" s="228">
        <v>2989</v>
      </c>
      <c r="J8" s="228">
        <v>2624</v>
      </c>
      <c r="K8" s="228">
        <v>2547</v>
      </c>
      <c r="L8" s="383">
        <v>2525</v>
      </c>
      <c r="M8" s="269"/>
    </row>
    <row r="9" spans="1:13" s="66" customFormat="1" ht="12.75" customHeight="1" x14ac:dyDescent="0.2">
      <c r="B9" s="79"/>
      <c r="C9" s="395" t="s">
        <v>153</v>
      </c>
      <c r="E9" s="228">
        <v>2822</v>
      </c>
      <c r="F9" s="226">
        <v>2809</v>
      </c>
      <c r="G9" s="226">
        <v>2793</v>
      </c>
      <c r="H9" s="228">
        <v>2770</v>
      </c>
      <c r="I9" s="228">
        <v>2822</v>
      </c>
      <c r="J9" s="228">
        <v>2960</v>
      </c>
      <c r="K9" s="228">
        <v>3159</v>
      </c>
      <c r="L9" s="383">
        <v>3052</v>
      </c>
      <c r="M9" s="269"/>
    </row>
    <row r="10" spans="1:13" ht="12.75" customHeight="1" x14ac:dyDescent="0.2">
      <c r="B10" s="21"/>
      <c r="C10" s="65" t="s">
        <v>151</v>
      </c>
      <c r="E10" s="228">
        <v>4647</v>
      </c>
      <c r="F10" s="226">
        <v>4610</v>
      </c>
      <c r="G10" s="226">
        <v>4844</v>
      </c>
      <c r="H10" s="228">
        <v>4837</v>
      </c>
      <c r="I10" s="228">
        <v>5004</v>
      </c>
      <c r="J10" s="228">
        <v>5040</v>
      </c>
      <c r="K10" s="228">
        <v>5255</v>
      </c>
      <c r="L10" s="383">
        <v>5281</v>
      </c>
      <c r="M10" s="269"/>
    </row>
    <row r="11" spans="1:13" s="66" customFormat="1" ht="12.75" customHeight="1" x14ac:dyDescent="0.2">
      <c r="B11" s="79"/>
      <c r="C11" s="395" t="s">
        <v>152</v>
      </c>
      <c r="E11" s="228">
        <v>2255</v>
      </c>
      <c r="F11" s="226">
        <v>2339</v>
      </c>
      <c r="G11" s="226">
        <v>2196</v>
      </c>
      <c r="H11" s="228">
        <v>2134</v>
      </c>
      <c r="I11" s="228">
        <v>2345</v>
      </c>
      <c r="J11" s="228">
        <v>2487</v>
      </c>
      <c r="K11" s="228">
        <v>2418</v>
      </c>
      <c r="L11" s="383">
        <v>2371</v>
      </c>
      <c r="M11" s="269"/>
    </row>
    <row r="12" spans="1:13" s="66" customFormat="1" ht="12.75" customHeight="1" x14ac:dyDescent="0.2">
      <c r="B12" s="79"/>
      <c r="C12" s="395" t="s">
        <v>62</v>
      </c>
      <c r="E12" s="226">
        <v>5635</v>
      </c>
      <c r="F12" s="226">
        <v>5555</v>
      </c>
      <c r="G12" s="226">
        <v>5663</v>
      </c>
      <c r="H12" s="228">
        <v>5607</v>
      </c>
      <c r="I12" s="228">
        <v>5997</v>
      </c>
      <c r="J12" s="228">
        <v>6082</v>
      </c>
      <c r="K12" s="228">
        <v>6194</v>
      </c>
      <c r="L12" s="383">
        <v>6187</v>
      </c>
      <c r="M12" s="269"/>
    </row>
    <row r="13" spans="1:13" s="82" customFormat="1" ht="12.75" customHeight="1" x14ac:dyDescent="0.2">
      <c r="B13" s="79"/>
      <c r="C13" s="82" t="s">
        <v>22</v>
      </c>
      <c r="E13" s="271">
        <v>63739</v>
      </c>
      <c r="F13" s="271">
        <v>63684</v>
      </c>
      <c r="G13" s="271">
        <v>65775</v>
      </c>
      <c r="H13" s="271">
        <v>65176</v>
      </c>
      <c r="I13" s="271">
        <v>67385</v>
      </c>
      <c r="J13" s="271">
        <v>66536</v>
      </c>
      <c r="K13" s="271">
        <v>68142</v>
      </c>
      <c r="L13" s="384">
        <f t="shared" ref="L13" si="0">SUM(L4:L12)</f>
        <v>69318</v>
      </c>
      <c r="M13" s="274"/>
    </row>
    <row r="14" spans="1:13" s="66" customFormat="1" ht="3.95" customHeight="1" x14ac:dyDescent="0.2">
      <c r="B14" s="79"/>
      <c r="C14" s="395"/>
      <c r="E14" s="273"/>
      <c r="F14" s="29"/>
      <c r="G14" s="29"/>
      <c r="H14" s="228"/>
      <c r="I14" s="228"/>
      <c r="J14" s="228"/>
      <c r="K14" s="228"/>
      <c r="L14" s="383"/>
      <c r="M14" s="269"/>
    </row>
    <row r="15" spans="1:13" ht="12.75" customHeight="1" x14ac:dyDescent="0.2">
      <c r="B15" s="45" t="s">
        <v>16</v>
      </c>
      <c r="E15" s="273"/>
      <c r="F15" s="29"/>
      <c r="G15" s="29"/>
      <c r="H15" s="266"/>
      <c r="I15" s="266"/>
      <c r="J15" s="266"/>
      <c r="K15" s="266"/>
      <c r="L15" s="386"/>
      <c r="M15" s="269"/>
    </row>
    <row r="16" spans="1:13" ht="3.95" customHeight="1" x14ac:dyDescent="0.2">
      <c r="B16" s="21"/>
      <c r="C16" s="45"/>
      <c r="D16" s="45"/>
      <c r="E16" s="273"/>
      <c r="F16" s="29"/>
      <c r="G16" s="29"/>
      <c r="H16" s="208"/>
      <c r="I16" s="208"/>
      <c r="J16" s="208"/>
      <c r="K16" s="208"/>
      <c r="L16" s="390"/>
      <c r="M16" s="269"/>
    </row>
    <row r="17" spans="2:13" ht="12.75" customHeight="1" x14ac:dyDescent="0.2">
      <c r="B17" s="21"/>
      <c r="C17" s="275" t="s">
        <v>132</v>
      </c>
      <c r="D17" s="275"/>
      <c r="E17" s="228">
        <v>148042</v>
      </c>
      <c r="F17" s="226">
        <v>144012</v>
      </c>
      <c r="G17" s="226">
        <v>147961</v>
      </c>
      <c r="H17" s="228">
        <v>154901</v>
      </c>
      <c r="I17" s="228">
        <v>159558</v>
      </c>
      <c r="J17" s="228">
        <v>155517</v>
      </c>
      <c r="K17" s="228">
        <v>158405</v>
      </c>
      <c r="L17" s="383">
        <v>164433</v>
      </c>
      <c r="M17" s="269"/>
    </row>
    <row r="18" spans="2:13" ht="12.75" customHeight="1" x14ac:dyDescent="0.2">
      <c r="B18" s="21"/>
      <c r="C18" s="275" t="s">
        <v>291</v>
      </c>
      <c r="D18" s="275"/>
      <c r="E18" s="228">
        <v>12136</v>
      </c>
      <c r="F18" s="226">
        <v>14125</v>
      </c>
      <c r="G18" s="226">
        <v>14544</v>
      </c>
      <c r="H18" s="228">
        <v>13672</v>
      </c>
      <c r="I18" s="228">
        <v>15309</v>
      </c>
      <c r="J18" s="228">
        <v>17032</v>
      </c>
      <c r="K18" s="228">
        <v>18010</v>
      </c>
      <c r="L18" s="383">
        <v>18552</v>
      </c>
      <c r="M18" s="269"/>
    </row>
    <row r="19" spans="2:13" ht="12.75" customHeight="1" x14ac:dyDescent="0.2">
      <c r="B19" s="21"/>
      <c r="C19" s="65" t="s">
        <v>148</v>
      </c>
      <c r="E19" s="228">
        <v>18997</v>
      </c>
      <c r="F19" s="226">
        <v>19447</v>
      </c>
      <c r="G19" s="226">
        <v>19390</v>
      </c>
      <c r="H19" s="228">
        <v>19584</v>
      </c>
      <c r="I19" s="228">
        <v>22170</v>
      </c>
      <c r="J19" s="228">
        <v>22583</v>
      </c>
      <c r="K19" s="228">
        <v>22282</v>
      </c>
      <c r="L19" s="383">
        <v>22468</v>
      </c>
      <c r="M19" s="269"/>
    </row>
    <row r="20" spans="2:13" ht="12.75" customHeight="1" x14ac:dyDescent="0.2">
      <c r="B20" s="21"/>
      <c r="C20" s="65" t="s">
        <v>157</v>
      </c>
      <c r="E20" s="228">
        <v>22431</v>
      </c>
      <c r="F20" s="226">
        <v>22403</v>
      </c>
      <c r="G20" s="226">
        <v>23603</v>
      </c>
      <c r="H20" s="228">
        <v>23518</v>
      </c>
      <c r="I20" s="228">
        <v>23786</v>
      </c>
      <c r="J20" s="228">
        <v>22165</v>
      </c>
      <c r="K20" s="228">
        <v>22346</v>
      </c>
      <c r="L20" s="383">
        <v>22290</v>
      </c>
      <c r="M20" s="269"/>
    </row>
    <row r="21" spans="2:13" ht="12.75" customHeight="1" x14ac:dyDescent="0.2">
      <c r="B21" s="21"/>
      <c r="C21" s="65" t="s">
        <v>62</v>
      </c>
      <c r="E21" s="226">
        <v>5897</v>
      </c>
      <c r="F21" s="226">
        <v>6170</v>
      </c>
      <c r="G21" s="226">
        <v>6444</v>
      </c>
      <c r="H21" s="226">
        <v>6567</v>
      </c>
      <c r="I21" s="226">
        <v>6620</v>
      </c>
      <c r="J21" s="226">
        <v>7028</v>
      </c>
      <c r="K21" s="226">
        <v>7463</v>
      </c>
      <c r="L21" s="383">
        <v>7644</v>
      </c>
      <c r="M21" s="269"/>
    </row>
    <row r="22" spans="2:13" s="45" customFormat="1" ht="12.75" customHeight="1" x14ac:dyDescent="0.2">
      <c r="B22" s="21"/>
      <c r="C22" s="45" t="s">
        <v>22</v>
      </c>
      <c r="E22" s="271">
        <v>207503</v>
      </c>
      <c r="F22" s="271">
        <v>206157</v>
      </c>
      <c r="G22" s="271">
        <v>211942</v>
      </c>
      <c r="H22" s="271">
        <v>218242</v>
      </c>
      <c r="I22" s="271">
        <v>227443</v>
      </c>
      <c r="J22" s="271">
        <v>224325</v>
      </c>
      <c r="K22" s="271">
        <v>228506</v>
      </c>
      <c r="L22" s="384">
        <f t="shared" ref="L22" si="1">SUM(L17:L21)</f>
        <v>235387</v>
      </c>
      <c r="M22" s="274"/>
    </row>
    <row r="23" spans="2:13" ht="3.95" customHeight="1" x14ac:dyDescent="0.2">
      <c r="B23" s="21"/>
      <c r="E23" s="276"/>
      <c r="F23" s="29"/>
      <c r="G23" s="29"/>
      <c r="H23" s="135"/>
      <c r="I23" s="135"/>
      <c r="J23" s="277"/>
      <c r="K23" s="277"/>
      <c r="L23" s="388"/>
      <c r="M23" s="269"/>
    </row>
    <row r="24" spans="2:13" ht="12.75" customHeight="1" x14ac:dyDescent="0.2">
      <c r="B24" s="21" t="s">
        <v>141</v>
      </c>
      <c r="C24" s="45"/>
      <c r="D24" s="45"/>
      <c r="E24" s="226">
        <v>40</v>
      </c>
      <c r="F24" s="226">
        <v>36</v>
      </c>
      <c r="G24" s="226">
        <v>47</v>
      </c>
      <c r="H24" s="228">
        <v>163</v>
      </c>
      <c r="I24" s="228">
        <v>53</v>
      </c>
      <c r="J24" s="228">
        <v>56</v>
      </c>
      <c r="K24" s="228">
        <v>50</v>
      </c>
      <c r="L24" s="383">
        <v>50</v>
      </c>
      <c r="M24" s="269"/>
    </row>
    <row r="25" spans="2:13" ht="3.95" customHeight="1" x14ac:dyDescent="0.2">
      <c r="B25" s="21"/>
      <c r="E25" s="276"/>
      <c r="F25" s="29"/>
      <c r="G25" s="29"/>
      <c r="H25" s="135"/>
      <c r="I25" s="135"/>
      <c r="J25" s="277"/>
      <c r="K25" s="277"/>
      <c r="L25" s="388"/>
      <c r="M25" s="269"/>
    </row>
    <row r="26" spans="2:13" s="45" customFormat="1" ht="12.75" customHeight="1" thickBot="1" x14ac:dyDescent="0.25">
      <c r="B26" s="21" t="s">
        <v>137</v>
      </c>
      <c r="E26" s="278">
        <v>271282</v>
      </c>
      <c r="F26" s="278">
        <v>269877</v>
      </c>
      <c r="G26" s="278">
        <v>277764</v>
      </c>
      <c r="H26" s="278">
        <v>283581</v>
      </c>
      <c r="I26" s="278">
        <v>294881</v>
      </c>
      <c r="J26" s="278">
        <v>290917</v>
      </c>
      <c r="K26" s="278">
        <v>296698</v>
      </c>
      <c r="L26" s="389">
        <f t="shared" ref="L26" si="2">+L24+L22+L13</f>
        <v>304755</v>
      </c>
      <c r="M26" s="274"/>
    </row>
    <row r="27" spans="2:13" s="45" customFormat="1" ht="12.75" customHeight="1" thickTop="1" x14ac:dyDescent="0.2">
      <c r="B27" s="21"/>
      <c r="E27" s="280"/>
      <c r="F27" s="280"/>
      <c r="G27" s="280"/>
      <c r="H27" s="280"/>
      <c r="I27" s="280"/>
      <c r="J27" s="280"/>
      <c r="K27" s="280"/>
      <c r="L27" s="280"/>
      <c r="M27" s="274"/>
    </row>
    <row r="28" spans="2:13" s="66" customFormat="1" ht="12.75" customHeight="1" x14ac:dyDescent="0.2">
      <c r="B28" s="79"/>
      <c r="C28" s="205"/>
      <c r="D28" s="205"/>
      <c r="E28" s="226"/>
      <c r="F28" s="226"/>
      <c r="G28" s="226"/>
      <c r="H28" s="226"/>
      <c r="I28" s="226"/>
      <c r="J28" s="226"/>
      <c r="K28" s="226"/>
      <c r="L28" s="226"/>
      <c r="M28" s="269"/>
    </row>
    <row r="29" spans="2:13" s="45" customFormat="1" ht="12.75" customHeight="1" x14ac:dyDescent="0.2">
      <c r="B29" s="10" t="s">
        <v>40</v>
      </c>
      <c r="E29" s="233"/>
      <c r="F29" s="233"/>
      <c r="G29" s="65"/>
      <c r="H29" s="233"/>
      <c r="I29" s="235"/>
      <c r="J29" s="235"/>
      <c r="K29" s="235"/>
      <c r="L29" s="236"/>
      <c r="M29" s="236"/>
    </row>
    <row r="30" spans="2:13" s="45" customFormat="1" ht="12.75" customHeight="1" x14ac:dyDescent="0.2">
      <c r="B30" s="165" t="s">
        <v>41</v>
      </c>
      <c r="C30" s="855" t="s">
        <v>446</v>
      </c>
      <c r="D30" s="855"/>
      <c r="E30" s="855"/>
      <c r="F30" s="855"/>
      <c r="G30" s="855"/>
      <c r="H30" s="855"/>
      <c r="I30" s="855"/>
      <c r="J30" s="855"/>
      <c r="K30" s="855"/>
      <c r="L30" s="855"/>
      <c r="M30" s="236"/>
    </row>
    <row r="31" spans="2:13" s="45" customFormat="1" ht="12.75" customHeight="1" x14ac:dyDescent="0.2">
      <c r="B31" s="165"/>
      <c r="C31" s="855"/>
      <c r="D31" s="855"/>
      <c r="E31" s="855"/>
      <c r="F31" s="855"/>
      <c r="G31" s="855"/>
      <c r="H31" s="855"/>
      <c r="I31" s="855"/>
      <c r="J31" s="855"/>
      <c r="K31" s="855"/>
      <c r="L31" s="855"/>
      <c r="M31" s="236"/>
    </row>
    <row r="32" spans="2:13" ht="12.75" customHeight="1" x14ac:dyDescent="0.2">
      <c r="B32" s="165" t="s">
        <v>43</v>
      </c>
      <c r="C32" s="240" t="s">
        <v>440</v>
      </c>
      <c r="D32" s="772"/>
      <c r="E32" s="772"/>
      <c r="F32" s="772"/>
      <c r="G32" s="772"/>
      <c r="H32" s="772"/>
      <c r="I32" s="772"/>
      <c r="J32" s="772"/>
      <c r="K32" s="772"/>
      <c r="L32" s="772"/>
      <c r="M32" s="377"/>
    </row>
    <row r="33" spans="2:13" ht="12.75" customHeight="1" x14ac:dyDescent="0.2">
      <c r="B33" s="165" t="s">
        <v>124</v>
      </c>
      <c r="C33" s="859" t="s">
        <v>174</v>
      </c>
      <c r="D33" s="859"/>
      <c r="E33" s="859"/>
      <c r="F33" s="859"/>
      <c r="G33" s="859"/>
      <c r="H33" s="859"/>
      <c r="I33" s="859"/>
      <c r="J33" s="859"/>
      <c r="K33" s="859"/>
      <c r="L33" s="859"/>
      <c r="M33" s="773"/>
    </row>
    <row r="34" spans="2:13" ht="12.75" customHeight="1" x14ac:dyDescent="0.2">
      <c r="B34" s="165"/>
      <c r="C34" s="859"/>
      <c r="D34" s="859"/>
      <c r="E34" s="859"/>
      <c r="F34" s="859"/>
      <c r="G34" s="859"/>
      <c r="H34" s="859"/>
      <c r="I34" s="859"/>
      <c r="J34" s="859"/>
      <c r="K34" s="859"/>
      <c r="L34" s="859"/>
      <c r="M34" s="773"/>
    </row>
    <row r="35" spans="2:13" x14ac:dyDescent="0.2">
      <c r="C35" s="859"/>
      <c r="D35" s="859"/>
      <c r="E35" s="859"/>
      <c r="F35" s="859"/>
      <c r="G35" s="859"/>
      <c r="H35" s="859"/>
      <c r="I35" s="859"/>
      <c r="J35" s="859"/>
      <c r="K35" s="859"/>
      <c r="L35" s="859"/>
      <c r="M35" s="773"/>
    </row>
    <row r="36" spans="2:13" x14ac:dyDescent="0.2">
      <c r="B36" s="165" t="s">
        <v>139</v>
      </c>
      <c r="C36" s="774" t="s">
        <v>164</v>
      </c>
      <c r="D36" s="774"/>
      <c r="E36" s="774"/>
      <c r="F36" s="774"/>
      <c r="G36" s="774"/>
      <c r="H36" s="774"/>
      <c r="I36" s="774"/>
      <c r="J36" s="774"/>
      <c r="K36" s="774"/>
      <c r="L36" s="774"/>
      <c r="M36" s="774"/>
    </row>
  </sheetData>
  <sheetProtection formatCells="0" formatColumns="0" formatRows="0" sort="0" autoFilter="0" pivotTables="0"/>
  <mergeCells count="3">
    <mergeCell ref="E1:L1"/>
    <mergeCell ref="C30:L31"/>
    <mergeCell ref="C33:L35"/>
  </mergeCells>
  <conditionalFormatting sqref="W50:W51 W121:W122 L121:L122 F122:K123 E121:E122 E50:L51">
    <cfRule type="cellIs" dxfId="7"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2" orientation="portrait" horizontalDpi="300" verticalDpi="300"/>
  <headerFooter alignWithMargins="0">
    <oddHeader>&amp;L&amp;"Vodafone Rg,Regular"Vodafone Group Plc&amp;C&amp;"Vodafone Rg,Regular"08 Voice usage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Index</vt:lpstr>
      <vt:lpstr>01 Quarterly revenue</vt:lpstr>
      <vt:lpstr>02 Regional results</vt:lpstr>
      <vt:lpstr>03 Adjusted income statement</vt:lpstr>
      <vt:lpstr>04 Cash flow</vt:lpstr>
      <vt:lpstr>05 Half-year regional analysis</vt:lpstr>
      <vt:lpstr>06 Mobile customers</vt:lpstr>
      <vt:lpstr>07 Churn</vt:lpstr>
      <vt:lpstr>08 Voice usage</vt:lpstr>
      <vt:lpstr>09 Messaging usage</vt:lpstr>
      <vt:lpstr>10 Data usage</vt:lpstr>
      <vt:lpstr>11 ARPU</vt:lpstr>
      <vt:lpstr>12 Smartphones</vt:lpstr>
      <vt:lpstr>13 Fixed broadband customers</vt:lpstr>
      <vt:lpstr>14 Average forex rates</vt:lpstr>
      <vt:lpstr>15 Definitions</vt:lpstr>
      <vt:lpstr>---&gt;</vt:lpstr>
      <vt:lpstr>FY 14 Financial statements</vt:lpstr>
      <vt:lpstr>Consolidated income statement</vt:lpstr>
      <vt:lpstr>Consolidated SOCI</vt:lpstr>
      <vt:lpstr>Consolidated SFP</vt:lpstr>
      <vt:lpstr>Consolidated SOCE</vt:lpstr>
      <vt:lpstr>Consolidated cash flows</vt:lpstr>
      <vt:lpstr>Note 2 - Dividends</vt:lpstr>
      <vt:lpstr>'01 Quarterly revenue'!Print_Area</vt:lpstr>
      <vt:lpstr>'02 Regional results'!Print_Area</vt:lpstr>
      <vt:lpstr>'03 Adjusted income statement'!Print_Area</vt:lpstr>
      <vt:lpstr>'04 Cash flow'!Print_Area</vt:lpstr>
      <vt:lpstr>'06 Mobile customers'!Print_Area</vt:lpstr>
      <vt:lpstr>'07 Churn'!Print_Area</vt:lpstr>
      <vt:lpstr>'08 Voice usage'!Print_Area</vt:lpstr>
      <vt:lpstr>'09 Messaging usage'!Print_Area</vt:lpstr>
      <vt:lpstr>'10 Data usage'!Print_Area</vt:lpstr>
      <vt:lpstr>'12 Smartphones'!Print_Area</vt:lpstr>
      <vt:lpstr>'13 Fixed broadband customers'!Print_Area</vt:lpstr>
      <vt:lpstr>'15 Definitions'!Print_Area</vt:lpstr>
      <vt:lpstr>'Consolidated cash flows'!Print_Area</vt:lpstr>
      <vt:lpstr>'Consolidated income statement'!Print_Area</vt:lpstr>
      <vt:lpstr>'Consolidated SFP'!Print_Area</vt:lpstr>
      <vt:lpstr>'Consolidated SOCE'!Print_Area</vt:lpstr>
      <vt:lpstr>'Consolidated SOCI'!Print_Area</vt:lpstr>
      <vt:lpstr>'FY 14 Financial statements'!Print_Area</vt:lpstr>
      <vt:lpstr>Index!Print_Area</vt:lpstr>
      <vt:lpstr>'01 Quarterly revenue'!Print_Titles</vt:lpstr>
      <vt:lpstr>'02 Regional results'!Print_Titles</vt:lpstr>
      <vt:lpstr>'02 Regional results'!regionalresults_web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Lulu Bridges</dc:creator>
  <cp:lastModifiedBy>Lulu Bridges</cp:lastModifiedBy>
  <dcterms:created xsi:type="dcterms:W3CDTF">2014-05-19T21:22:19Z</dcterms:created>
  <dcterms:modified xsi:type="dcterms:W3CDTF">2014-05-19T21:22:19Z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101484559</vt:i4>
  </property>
  <property fmtid="{D5CDD505-2E9C-101B-9397-08002B2CF9AE}" pid="3" name="_NewReviewCycle">
    <vt:lpwstr/>
  </property>
  <property fmtid="{D5CDD505-2E9C-101B-9397-08002B2CF9AE}" pid="4" name="_EmailSubject">
    <vt:lpwstr>Results</vt:lpwstr>
  </property>
  <property fmtid="{D5CDD505-2E9C-101B-9397-08002B2CF9AE}" pid="5" name="_AuthorEmail">
    <vt:lpwstr>Eric.Taylor@vodafone.com</vt:lpwstr>
  </property>
  <property fmtid="{D5CDD505-2E9C-101B-9397-08002B2CF9AE}" pid="6" name="_AuthorEmailDisplayName">
    <vt:lpwstr>Taylor, Eric, Vodafone Group</vt:lpwstr>
  </property>
  <property fmtid="{D5CDD505-2E9C-101B-9397-08002B2CF9AE}" pid="7" name="_PreviousAdHocReviewCycleID">
    <vt:i4>2090664963</vt:i4>
  </property>
  <property fmtid="{D5CDD505-2E9C-101B-9397-08002B2CF9AE}" pid="8" name="_ReviewingToolsShownOnce">
    <vt:lpwstr/>
  </property>
</Properties>
</file>