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8660" windowHeight="6075" tabRatio="784" activeTab="0"/>
  </bookViews>
  <sheets>
    <sheet name="Index" sheetId="1" r:id="rId1"/>
    <sheet name="1 Revenue analysis quarters" sheetId="2" r:id="rId2"/>
    <sheet name="2 Regional results" sheetId="3" r:id="rId3"/>
    <sheet name="3 Adjusted income statement" sheetId="4" r:id="rId4"/>
    <sheet name="4 Cash flow" sheetId="5" r:id="rId5"/>
    <sheet name="5 Half-year regional analysis" sheetId="6" r:id="rId6"/>
    <sheet name="6 Full year regional analysis" sheetId="7" r:id="rId7"/>
    <sheet name="7 Customers" sheetId="8" r:id="rId8"/>
    <sheet name="8 Churn" sheetId="9" r:id="rId9"/>
    <sheet name="9 Voice usage" sheetId="10" r:id="rId10"/>
    <sheet name="10 ARPU" sheetId="11" r:id="rId11"/>
    <sheet name="11 Definitions" sheetId="12" r:id="rId12"/>
  </sheets>
  <definedNames>
    <definedName name="OLE_LINK33" localSheetId="1">'1 Revenue analysis quarters'!$C$108</definedName>
    <definedName name="_xlnm.Print_Area" localSheetId="1">'1 Revenue analysis quarters'!$A$1:$V$112</definedName>
    <definedName name="_xlnm.Print_Area" localSheetId="10">'10 ARPU'!$A$1:$L$64</definedName>
    <definedName name="_xlnm.Print_Area" localSheetId="2">'2 Regional results'!$A$1:$S$381</definedName>
    <definedName name="_xlnm.Print_Area" localSheetId="6">'6 Full year regional analysis'!$A$1:$Q$57</definedName>
    <definedName name="_xlnm.Print_Area" localSheetId="8">'8 Churn'!$A$1:$K$38</definedName>
    <definedName name="_xlnm.Print_Area" localSheetId="0">'Index'!$A$1:$P$36</definedName>
    <definedName name="_xlnm.Print_Titles" localSheetId="2">'2 Regional results'!$1:$3</definedName>
    <definedName name="_xlnm.Print_Titles" localSheetId="0">'Index'!$1:$3</definedName>
  </definedNames>
  <calcPr fullCalcOnLoad="1"/>
</workbook>
</file>

<file path=xl/sharedStrings.xml><?xml version="1.0" encoding="utf-8"?>
<sst xmlns="http://schemas.openxmlformats.org/spreadsheetml/2006/main" count="976" uniqueCount="283">
  <si>
    <t>For further information refer to page 34 of the preliminary announcement for the year ended 31 March 2009, page 36 of the half-year financial report for the six months ended 30 September 2008, page 32 of the preliminary announcement for the year ended 31 March 2008 and page 40 of the half-yearly financial report for the six months ended 30 September 2007.</t>
  </si>
  <si>
    <t>Includes dividends from the Group's interest in SFR and Verizon Wireless.  See page 20 of the preliminary announcement for the year ended 31 March 2009, page 18 of the half-year financial report for the six months ended September 2008, page 19 of the preliminary announcement for the year ended 31 March 2008 and page 17 of the half-yearly financial report for the six months ended 30 September 2007 for further information.</t>
  </si>
  <si>
    <r>
      <t>For further information, see page 20 of the preliminary announcement for the year ended 31 March 2009, page 18</t>
    </r>
    <r>
      <rPr>
        <sz val="10"/>
        <color indexed="10"/>
        <rFont val="Vodafone Rg"/>
        <family val="2"/>
      </rPr>
      <t xml:space="preserve"> </t>
    </r>
    <r>
      <rPr>
        <sz val="10"/>
        <rFont val="Vodafone Rg"/>
        <family val="2"/>
      </rPr>
      <t>of the half-year financial report for the six months ended September 2008, page 33 of the preliminary announcement for the year ended 31 March 2008 and page 41 of the half-yearly financial report for the six months ended 30 September 2007.</t>
    </r>
  </si>
  <si>
    <t>Presents the results of Vodafone Essar from 8 May 2007, being the acquisition date.</t>
  </si>
  <si>
    <t xml:space="preserve">   Turkey</t>
  </si>
  <si>
    <t>Includes elimination of £11 million (2008: £10 million) of intercompany revenue between operating companies within the Other Europe segment.</t>
  </si>
  <si>
    <t>7 Customers</t>
  </si>
  <si>
    <t>9 Voice usage</t>
  </si>
  <si>
    <t>1 Revenue analysis quarters</t>
  </si>
  <si>
    <t>2 Regional results</t>
  </si>
  <si>
    <t>4 Cash flow</t>
  </si>
  <si>
    <t>6 Full year regional analysis</t>
  </si>
  <si>
    <t>11 Definitions</t>
  </si>
  <si>
    <t>Disclaimer</t>
  </si>
  <si>
    <t>FY 08</t>
  </si>
  <si>
    <t>Europe</t>
  </si>
  <si>
    <t>Germany</t>
  </si>
  <si>
    <t>Italy</t>
  </si>
  <si>
    <t xml:space="preserve">Spain </t>
  </si>
  <si>
    <t xml:space="preserve">UK </t>
  </si>
  <si>
    <t>Group</t>
  </si>
  <si>
    <t>Data revenue</t>
  </si>
  <si>
    <t>EBITDA</t>
  </si>
  <si>
    <t>Messaging revenue</t>
  </si>
  <si>
    <t>Other service revenue</t>
  </si>
  <si>
    <t>Interconnect costs</t>
  </si>
  <si>
    <t>Acquisition costs</t>
  </si>
  <si>
    <t>Retention costs</t>
  </si>
  <si>
    <t>Operating expenses</t>
  </si>
  <si>
    <t>Acquired intangibles amortisation</t>
  </si>
  <si>
    <t>Purchased licence amortisation</t>
  </si>
  <si>
    <t>Depreciation and other amortisation</t>
  </si>
  <si>
    <t>Share of result in associates</t>
  </si>
  <si>
    <t>Adjusted operating profit</t>
  </si>
  <si>
    <t>Adjustments for:</t>
  </si>
  <si>
    <t>Impairment losses</t>
  </si>
  <si>
    <t>Other</t>
  </si>
  <si>
    <t>Non-operating income of associates</t>
  </si>
  <si>
    <t>EBITDA Margin</t>
  </si>
  <si>
    <t>Share of result in associated undertakings</t>
  </si>
  <si>
    <t>Income tax expense</t>
  </si>
  <si>
    <t>Recognition of pre-acquisition deferred tax asset</t>
  </si>
  <si>
    <t>Tax on adjustments to derive adjusted profit before tax</t>
  </si>
  <si>
    <t>Adjusted income tax expense</t>
  </si>
  <si>
    <t>Share of associated undertakings’ tax</t>
  </si>
  <si>
    <t>Adjusted income tax expense for purposes of calculating adjusted tax rate</t>
  </si>
  <si>
    <t>Adjusted profit before tax</t>
  </si>
  <si>
    <t>Adjusted profit before tax for the purpose of calculating adjusted effective tax rate</t>
  </si>
  <si>
    <t>Adjusted effective tax rate</t>
  </si>
  <si>
    <t>Adjustments:</t>
  </si>
  <si>
    <t>Share of associated undertakings’ non-operating income</t>
  </si>
  <si>
    <t>Taxation</t>
  </si>
  <si>
    <t>Interest received</t>
  </si>
  <si>
    <t>Interest paid</t>
  </si>
  <si>
    <t xml:space="preserve">Free cash flow </t>
  </si>
  <si>
    <t>Equity dividends paid</t>
  </si>
  <si>
    <t>Purchase of treasury shares</t>
  </si>
  <si>
    <t>B share scheme</t>
  </si>
  <si>
    <t>Net debt increase</t>
  </si>
  <si>
    <t>Opening net debt</t>
  </si>
  <si>
    <t>Closing net debt</t>
  </si>
  <si>
    <t>Less: Share of associated undertakings’ tax and minority interest</t>
  </si>
  <si>
    <t>Statutory income tax expense</t>
  </si>
  <si>
    <t>Eliminations</t>
  </si>
  <si>
    <t>Purchase of intangible fixed assets</t>
  </si>
  <si>
    <t>Revenue</t>
  </si>
  <si>
    <t>Adjusted operating profit/(loss)</t>
  </si>
  <si>
    <t>Capitalised fixed asset additions</t>
  </si>
  <si>
    <t>Operating free cash flow</t>
  </si>
  <si>
    <t>Spain</t>
  </si>
  <si>
    <t>UK</t>
  </si>
  <si>
    <t>Other Europe</t>
  </si>
  <si>
    <t xml:space="preserve">   Greece</t>
  </si>
  <si>
    <t xml:space="preserve">   Netherlands</t>
  </si>
  <si>
    <t xml:space="preserve">   Portugal</t>
  </si>
  <si>
    <t>Total Europe</t>
  </si>
  <si>
    <t xml:space="preserve">   Romania</t>
  </si>
  <si>
    <t xml:space="preserve">   Egypt</t>
  </si>
  <si>
    <t>Total Group</t>
  </si>
  <si>
    <t xml:space="preserve"> </t>
  </si>
  <si>
    <t>£m</t>
  </si>
  <si>
    <t>Capital expenditure</t>
  </si>
  <si>
    <t>Adjusted investment income and financing costs</t>
  </si>
  <si>
    <t>Statutory investment income and financing costs</t>
  </si>
  <si>
    <t>Service revenue</t>
  </si>
  <si>
    <t>Group revenue</t>
  </si>
  <si>
    <t>Group EBITDA</t>
  </si>
  <si>
    <t>EBITDA margin</t>
  </si>
  <si>
    <t>Depreciation and amortisation</t>
  </si>
  <si>
    <t>Group profit before taxation</t>
  </si>
  <si>
    <t>Minority interests</t>
  </si>
  <si>
    <t>Weighted average number of shares - basic</t>
  </si>
  <si>
    <t>Investment income and financing costs</t>
  </si>
  <si>
    <t>Adjusted EPS calculation</t>
  </si>
  <si>
    <t>Purchase of property, plant and equipment</t>
  </si>
  <si>
    <t>Disposal of property, plant and equipment</t>
  </si>
  <si>
    <t>Notes:</t>
  </si>
  <si>
    <t>6.42p</t>
  </si>
  <si>
    <t xml:space="preserve">Dividends paid to minority shareholders in subsidiary undertakings </t>
  </si>
  <si>
    <t>(1)</t>
  </si>
  <si>
    <t>(2)</t>
  </si>
  <si>
    <t>(3)</t>
  </si>
  <si>
    <t>(4)</t>
  </si>
  <si>
    <t>Adjustments to derive adjusted profit before tax</t>
  </si>
  <si>
    <t>Voice revenue</t>
  </si>
  <si>
    <t>Fixed line revenue</t>
  </si>
  <si>
    <t>Note:</t>
  </si>
  <si>
    <t>Q2 07/08</t>
  </si>
  <si>
    <t>Q3 07/08</t>
  </si>
  <si>
    <t>Q4 07/08</t>
  </si>
  <si>
    <t>Greece</t>
  </si>
  <si>
    <t>Netherlands</t>
  </si>
  <si>
    <t>Portugal</t>
  </si>
  <si>
    <t>Romania</t>
  </si>
  <si>
    <t>Turkey</t>
  </si>
  <si>
    <t>Egypt</t>
  </si>
  <si>
    <t>India</t>
  </si>
  <si>
    <t>Reconciliation to proportionate</t>
  </si>
  <si>
    <t>(5)</t>
  </si>
  <si>
    <t>ARPU</t>
  </si>
  <si>
    <t>Total</t>
  </si>
  <si>
    <t>Contract</t>
  </si>
  <si>
    <t>Prepaid</t>
  </si>
  <si>
    <t>Italy (EUR)</t>
  </si>
  <si>
    <t>Spain (EUR)</t>
  </si>
  <si>
    <t>UK (GBP)</t>
  </si>
  <si>
    <t>Greece (EUR)</t>
  </si>
  <si>
    <t>Netherlands (EUR)</t>
  </si>
  <si>
    <t>Portugal (EUR)</t>
  </si>
  <si>
    <t>Egypt (EGP)</t>
  </si>
  <si>
    <t>Turkey (TRY)</t>
  </si>
  <si>
    <t xml:space="preserve">Italy </t>
  </si>
  <si>
    <t>3G device</t>
  </si>
  <si>
    <t>A handset or device capable of accessing 3G data services.</t>
  </si>
  <si>
    <t>Amortisation relating to intangible assets identified and recognised separately in respect of a business combination in excess of the intangible assets recognised by the acquiree prior to acquisition.</t>
  </si>
  <si>
    <t xml:space="preserve">The total of connection fees, trade commissions and equipment costs relating to new customer connections. </t>
  </si>
  <si>
    <t xml:space="preserve">This measure includes the aggregate of capitalised property, plant and equipment additions and capitalised software costs.  </t>
  </si>
  <si>
    <t>Churn</t>
  </si>
  <si>
    <t>Total gross customer disconnections in the period divided by the average total customers in the period.</t>
  </si>
  <si>
    <t xml:space="preserve">Controlled and jointly controlled </t>
  </si>
  <si>
    <t xml:space="preserve">Controlled and jointly controlled measures include 100% for the Group's mobile operating subsidiaries and the Group's proportionate share for joint ventures. </t>
  </si>
  <si>
    <t xml:space="preserve">This measure includes the profit or loss on disposal of property, plant and equipment and computer software.  </t>
  </si>
  <si>
    <t>A charge paid by Vodafone to other fixed line or mobile operators when a Vodafone customer calls a customer connected to a different network.</t>
  </si>
  <si>
    <t>Net debt</t>
  </si>
  <si>
    <t xml:space="preserve">Organic growth </t>
  </si>
  <si>
    <t>Amortisation relating to capitalised licence and spectrum fees purchased directly by the Group or existing on recognition through business combination accounting, and such fees recognised by an acquiree prior to acquisition.</t>
  </si>
  <si>
    <t xml:space="preserve">The total of trade commissions, loyalty scheme and equipment costs relating to customer retention and upgrade.  </t>
  </si>
  <si>
    <t>Service revenue comprises all revenue related to the provision of ongoing services including, but not limited to, monthly access charges, airtime usage, roaming, incoming and outgoing network usage by non-Vodafone customers and interconnect charges for incoming calls.</t>
  </si>
  <si>
    <t>Mobile customer</t>
  </si>
  <si>
    <t>Operating (loss)/profit</t>
  </si>
  <si>
    <t>Adjusted profit</t>
  </si>
  <si>
    <t>Adjusted profit for EPS calculation</t>
  </si>
  <si>
    <t>Vodafone Group Plc</t>
  </si>
  <si>
    <t>Group customers are presented on a controlled (fully consolidated) and jointly controlled (proportionately consolidated) basis in accordance with the Group’s current segments.</t>
  </si>
  <si>
    <t>H1 07/08</t>
  </si>
  <si>
    <t>H2 07/08</t>
  </si>
  <si>
    <t>FY 07/08</t>
  </si>
  <si>
    <t xml:space="preserve">H1 07/08 </t>
  </si>
  <si>
    <t xml:space="preserve">   Associates</t>
  </si>
  <si>
    <t>12.50p</t>
  </si>
  <si>
    <t>Closing number of shares outstanding</t>
  </si>
  <si>
    <t>Non-service revenue</t>
  </si>
  <si>
    <t>Other revenue</t>
  </si>
  <si>
    <t>Q1 08/09</t>
  </si>
  <si>
    <t>Q2 08/09</t>
  </si>
  <si>
    <t>H1 08/09</t>
  </si>
  <si>
    <t>Direct costs</t>
  </si>
  <si>
    <t>Customer costs</t>
  </si>
  <si>
    <t>7.52p</t>
  </si>
  <si>
    <t xml:space="preserve">H1 08/09 </t>
  </si>
  <si>
    <r>
      <t>Fixed line revenue</t>
    </r>
    <r>
      <rPr>
        <vertAlign val="superscript"/>
        <sz val="10"/>
        <rFont val="Vodafone Rg"/>
        <family val="2"/>
      </rPr>
      <t xml:space="preserve"> </t>
    </r>
  </si>
  <si>
    <r>
      <t>Group adjusted operating profit</t>
    </r>
    <r>
      <rPr>
        <vertAlign val="superscript"/>
        <sz val="10"/>
        <rFont val="Vodafone Rg"/>
        <family val="2"/>
      </rPr>
      <t xml:space="preserve"> (1)</t>
    </r>
  </si>
  <si>
    <r>
      <t xml:space="preserve">     Reconciling items</t>
    </r>
    <r>
      <rPr>
        <vertAlign val="superscript"/>
        <sz val="10"/>
        <color indexed="8"/>
        <rFont val="Vodafone Rg"/>
        <family val="2"/>
      </rPr>
      <t xml:space="preserve"> (1)</t>
    </r>
  </si>
  <si>
    <r>
      <t>Other income and expense</t>
    </r>
    <r>
      <rPr>
        <vertAlign val="superscript"/>
        <sz val="10"/>
        <rFont val="Vodafone Rg"/>
        <family val="2"/>
      </rPr>
      <t>(1)</t>
    </r>
  </si>
  <si>
    <r>
      <t>Non-operating income and expense</t>
    </r>
    <r>
      <rPr>
        <vertAlign val="superscript"/>
        <sz val="10"/>
        <rFont val="Vodafone Rg"/>
        <family val="2"/>
      </rPr>
      <t>(1)</t>
    </r>
  </si>
  <si>
    <r>
      <t>Investment income and financing costs</t>
    </r>
    <r>
      <rPr>
        <vertAlign val="superscript"/>
        <sz val="10"/>
        <rFont val="Vodafone Rg"/>
        <family val="2"/>
      </rPr>
      <t>(1)</t>
    </r>
  </si>
  <si>
    <r>
      <t>Taxation</t>
    </r>
    <r>
      <rPr>
        <vertAlign val="superscript"/>
        <sz val="10"/>
        <rFont val="Vodafone Rg"/>
        <family val="2"/>
      </rPr>
      <t>(1)</t>
    </r>
  </si>
  <si>
    <r>
      <t>Acquisitions and disposals</t>
    </r>
    <r>
      <rPr>
        <vertAlign val="superscript"/>
        <sz val="10"/>
        <rFont val="Vodafone Rg"/>
        <family val="2"/>
      </rPr>
      <t xml:space="preserve"> (2)</t>
    </r>
  </si>
  <si>
    <r>
      <t>Mobile customers</t>
    </r>
    <r>
      <rPr>
        <b/>
        <vertAlign val="superscript"/>
        <sz val="10"/>
        <rFont val="Vodafone Rg"/>
        <family val="2"/>
      </rPr>
      <t>(1)</t>
    </r>
  </si>
  <si>
    <t>For the six months ended 30 September 2008 this includes £591 million in relation to Vodafone Qatar.</t>
  </si>
  <si>
    <t>Depreciation and amortisation:</t>
  </si>
  <si>
    <t>Acquired intangibles</t>
  </si>
  <si>
    <t>Acquisition and retention costs</t>
  </si>
  <si>
    <t>Other customer costs</t>
  </si>
  <si>
    <t>Put options over minority interests</t>
  </si>
  <si>
    <t>The proportionate customer number represents the number of mobile customers in ventures which the Group either controls or in which it invests, based on the Group's ownership in such ventures.</t>
  </si>
  <si>
    <t>Ghana Telecom is included from 15 August 2008 following the completion of its acquisition.</t>
  </si>
  <si>
    <t>Licence and spectrum payments</t>
  </si>
  <si>
    <r>
      <t>Amounts received from minority interests</t>
    </r>
    <r>
      <rPr>
        <vertAlign val="superscript"/>
        <sz val="10"/>
        <rFont val="Vodafone Rg"/>
        <family val="2"/>
      </rPr>
      <t>(3)</t>
    </r>
  </si>
  <si>
    <t>Q3 08/09</t>
  </si>
  <si>
    <t>Vodacom</t>
  </si>
  <si>
    <t>Intra-region eliminations</t>
  </si>
  <si>
    <t>Inter-region eliminations</t>
  </si>
  <si>
    <t>Verizon Wireless</t>
  </si>
  <si>
    <t xml:space="preserve">   Other</t>
  </si>
  <si>
    <t>Q4 08/09</t>
  </si>
  <si>
    <t>H2 08/09</t>
  </si>
  <si>
    <t>FY 08/09</t>
  </si>
  <si>
    <t>FY 09</t>
  </si>
  <si>
    <t>Albania</t>
  </si>
  <si>
    <t>Ireland</t>
  </si>
  <si>
    <t>Malta</t>
  </si>
  <si>
    <t>Czech Republic</t>
  </si>
  <si>
    <t>Hungary</t>
  </si>
  <si>
    <t>Poland</t>
  </si>
  <si>
    <t>Australia</t>
  </si>
  <si>
    <t>Fiji</t>
  </si>
  <si>
    <t>New Zealand</t>
  </si>
  <si>
    <t>5 Half-year regional analysis</t>
  </si>
  <si>
    <t>Qatar</t>
  </si>
  <si>
    <t>17.17p</t>
  </si>
  <si>
    <t>Service revenue excluding fixed line revenue, fixed advertising revenue, revenue related to business managed services and revenue from certain tower sharing arrangements divided by average customers.</t>
  </si>
  <si>
    <t>Other Africa and Central Europe</t>
  </si>
  <si>
    <t>Other Asia Pacific and Middle East</t>
  </si>
  <si>
    <t>Africa and Central Europe</t>
  </si>
  <si>
    <t>Asia Pacific and Middle East</t>
  </si>
  <si>
    <t>100+</t>
  </si>
  <si>
    <t xml:space="preserve">Profit before tax </t>
  </si>
  <si>
    <t>Profit from continuing operations attributable to equity shareholders</t>
  </si>
  <si>
    <t>Capitalised expenditure</t>
  </si>
  <si>
    <t>A mobile customer is defined as a subscriber identity module ("SIM"), or in territories where SIMs do not exist, a unique mobile telephone number, which has access to the network for any purpose, including data only usage, except telemetric applications. Telemetric applications include, but  are not limited to, asset and equipment tracking, mobile payment and billing functionality, e.g. vending machines and meter readings, and include voice enabled customers whose usage is limited to a central service operation, e.g. emergency response applications in vehicles.</t>
  </si>
  <si>
    <t>Long term borrowings, short term borrowings and mark-to-market adjustments on financing instruments less cash and cash equivalents.</t>
  </si>
  <si>
    <t>The percentage movements in organic growth are presented to reflect operating performance on a comparable basis, both in terms of percentage of entity ownership and exchange rate movements.</t>
  </si>
  <si>
    <t>Proportionate mobile customers</t>
  </si>
  <si>
    <t>3 Adjusted income statement</t>
  </si>
  <si>
    <t>Purchased licences</t>
  </si>
  <si>
    <t>Common Functions and eliminations</t>
  </si>
  <si>
    <t>Adjusted basic earnings per share</t>
  </si>
  <si>
    <t>Cash generated by operations</t>
  </si>
  <si>
    <t>Operating free cash flow before licence and spectrum payments</t>
  </si>
  <si>
    <t>Free cash flow before licence and spectrum payments</t>
  </si>
  <si>
    <r>
      <t xml:space="preserve">Dividends received from associated undertakings and investments </t>
    </r>
    <r>
      <rPr>
        <vertAlign val="superscript"/>
        <sz val="10"/>
        <rFont val="Vodafone Rg"/>
        <family val="2"/>
      </rPr>
      <t>(1)</t>
    </r>
  </si>
  <si>
    <t>Foreign exchange and other</t>
  </si>
  <si>
    <t>Before licence and spectrum payments.</t>
  </si>
  <si>
    <t>Includes elimination of £5 million (six months ended 30 September 2008 £6 million, six months ended 31 March 2008 £5 million, six months ended 30 September 2007 £5 million, six months ended 31 March 2007 £5 million) of intercompany revenue between operating companies within the Other Europe segment.</t>
  </si>
  <si>
    <t>Amount for six months ended 30 September 2008 includes £647 million in relation to Qatar.</t>
  </si>
  <si>
    <t>Amount for the year ended 31 March 2009 includes £647 million in relation to Qatar.</t>
  </si>
  <si>
    <t>Closing customers (in thousands)</t>
  </si>
  <si>
    <t>Prepaid percentage</t>
  </si>
  <si>
    <t>Net additions (in thousands)</t>
  </si>
  <si>
    <t>Safaricom is accounted for as an associate from 28 May 2008 following the allocation of shares in its public offering and termination of the shareholders' agreement with the Government of Kenya. Ghana Telecommunications is included from 15 August 2008 following the completion of its acquisition and subsequent revision of customer numbers to 31 December 2008.</t>
  </si>
  <si>
    <t>Associates and investments</t>
  </si>
  <si>
    <r>
      <t>Total voice minutes (in millions)</t>
    </r>
    <r>
      <rPr>
        <b/>
        <vertAlign val="superscript"/>
        <sz val="10"/>
        <rFont val="Vodafone Rg"/>
        <family val="2"/>
      </rPr>
      <t>(1)</t>
    </r>
  </si>
  <si>
    <t>Definition of terms</t>
  </si>
  <si>
    <t>The quarter ended 31 March 2009 includes the effect of one off disconnections of 310,000 contract customers.</t>
  </si>
  <si>
    <t>Vodacom (ZAR)</t>
  </si>
  <si>
    <t>Q1 09/10</t>
  </si>
  <si>
    <r>
      <t>Organic % change</t>
    </r>
    <r>
      <rPr>
        <vertAlign val="superscript"/>
        <sz val="10"/>
        <rFont val="Vodafone Rg"/>
        <family val="2"/>
      </rPr>
      <t>(1)</t>
    </r>
  </si>
  <si>
    <t xml:space="preserve">Group </t>
  </si>
  <si>
    <r>
      <t>Germany</t>
    </r>
    <r>
      <rPr>
        <b/>
        <vertAlign val="superscript"/>
        <sz val="10"/>
        <rFont val="Vodafone Rg"/>
        <family val="2"/>
      </rPr>
      <t xml:space="preserve"> </t>
    </r>
  </si>
  <si>
    <t>Common Functions</t>
  </si>
  <si>
    <t>Regional results</t>
  </si>
  <si>
    <r>
      <t xml:space="preserve">   Other</t>
    </r>
    <r>
      <rPr>
        <vertAlign val="superscript"/>
        <sz val="10"/>
        <rFont val="Vodafone Rg"/>
        <family val="2"/>
      </rPr>
      <t xml:space="preserve"> (2)</t>
    </r>
  </si>
  <si>
    <r>
      <t>India</t>
    </r>
    <r>
      <rPr>
        <vertAlign val="superscript"/>
        <sz val="10"/>
        <rFont val="Vodafone Rg"/>
        <family val="2"/>
      </rPr>
      <t xml:space="preserve"> (3)</t>
    </r>
  </si>
  <si>
    <r>
      <t xml:space="preserve">  Licence and spectrum payments</t>
    </r>
    <r>
      <rPr>
        <vertAlign val="superscript"/>
        <sz val="10"/>
        <rFont val="Vodafone Rg"/>
        <family val="2"/>
      </rPr>
      <t>(4)</t>
    </r>
  </si>
  <si>
    <r>
      <t>Operating free cash flow</t>
    </r>
    <r>
      <rPr>
        <vertAlign val="superscript"/>
        <sz val="10"/>
        <rFont val="Vodafone Rg"/>
        <family val="2"/>
      </rPr>
      <t>(1)</t>
    </r>
  </si>
  <si>
    <r>
      <t xml:space="preserve">   Other</t>
    </r>
    <r>
      <rPr>
        <vertAlign val="superscript"/>
        <sz val="10"/>
        <rFont val="Vodafone Rg"/>
        <family val="2"/>
      </rPr>
      <t>(2)</t>
    </r>
  </si>
  <si>
    <r>
      <t>India</t>
    </r>
    <r>
      <rPr>
        <vertAlign val="superscript"/>
        <sz val="10"/>
        <rFont val="Vodafone Rg"/>
        <family val="2"/>
      </rPr>
      <t>(3)</t>
    </r>
  </si>
  <si>
    <r>
      <t>Vodacom</t>
    </r>
    <r>
      <rPr>
        <vertAlign val="superscript"/>
        <sz val="8"/>
        <rFont val="Vodafone Rg"/>
        <family val="2"/>
      </rPr>
      <t>(2)</t>
    </r>
  </si>
  <si>
    <r>
      <t>Ghana</t>
    </r>
    <r>
      <rPr>
        <vertAlign val="superscript"/>
        <sz val="8"/>
        <rFont val="Vodafone Rg"/>
        <family val="2"/>
      </rPr>
      <t>(3)</t>
    </r>
  </si>
  <si>
    <r>
      <t>Kenya</t>
    </r>
    <r>
      <rPr>
        <vertAlign val="superscript"/>
        <sz val="8"/>
        <rFont val="Vodafone Rg"/>
        <family val="2"/>
      </rPr>
      <t>(3)</t>
    </r>
  </si>
  <si>
    <r>
      <t>Proportionate</t>
    </r>
    <r>
      <rPr>
        <b/>
        <vertAlign val="superscript"/>
        <sz val="10"/>
        <rFont val="Vodafone Rg"/>
        <family val="2"/>
      </rPr>
      <t>(4)</t>
    </r>
  </si>
  <si>
    <r>
      <t>UK</t>
    </r>
    <r>
      <rPr>
        <b/>
        <vertAlign val="superscript"/>
        <sz val="10"/>
        <rFont val="Vodafone Rg"/>
        <family val="2"/>
      </rPr>
      <t>(1)</t>
    </r>
  </si>
  <si>
    <r>
      <t>Vodacom</t>
    </r>
    <r>
      <rPr>
        <vertAlign val="superscript"/>
        <sz val="10"/>
        <rFont val="Vodafone Rg"/>
        <family val="2"/>
      </rPr>
      <t>(2)</t>
    </r>
  </si>
  <si>
    <r>
      <t xml:space="preserve">Other </t>
    </r>
    <r>
      <rPr>
        <vertAlign val="superscript"/>
        <sz val="10"/>
        <rFont val="Vodafone Rg"/>
        <family val="2"/>
      </rPr>
      <t>(3)(4)</t>
    </r>
  </si>
  <si>
    <r>
      <t>India</t>
    </r>
    <r>
      <rPr>
        <vertAlign val="superscript"/>
        <sz val="10"/>
        <rFont val="Vodafone Rg"/>
        <family val="2"/>
      </rPr>
      <t>(5)</t>
    </r>
  </si>
  <si>
    <t>Germany (EUR)</t>
  </si>
  <si>
    <r>
      <t>Romania (EUR)</t>
    </r>
    <r>
      <rPr>
        <b/>
        <vertAlign val="superscript"/>
        <sz val="10"/>
        <rFont val="Vodafone Rg"/>
        <family val="2"/>
      </rPr>
      <t>(1)</t>
    </r>
  </si>
  <si>
    <r>
      <t>India (INR)</t>
    </r>
    <r>
      <rPr>
        <b/>
        <vertAlign val="superscript"/>
        <sz val="10"/>
        <rFont val="Vodafone Rg"/>
        <family val="2"/>
      </rPr>
      <t>(2)</t>
    </r>
  </si>
  <si>
    <t>8 Churn</t>
  </si>
  <si>
    <t>10 ARPU</t>
  </si>
  <si>
    <r>
      <t xml:space="preserve">Organic % change </t>
    </r>
    <r>
      <rPr>
        <vertAlign val="superscript"/>
        <sz val="10"/>
        <rFont val="Vodafone Rg"/>
        <family val="2"/>
      </rPr>
      <t>(1)(2)</t>
    </r>
  </si>
  <si>
    <r>
      <t>Minority interests in above</t>
    </r>
    <r>
      <rPr>
        <vertAlign val="superscript"/>
        <sz val="10"/>
        <rFont val="Vodafone Rg"/>
        <family val="2"/>
      </rPr>
      <t>(4)</t>
    </r>
  </si>
  <si>
    <t>on 9 June 2009.</t>
  </si>
  <si>
    <t>Organic growth includes India for the first time and Vodacom (except for the results of Gateway) at the current level of ownership but excludes Australia following the merger with Hutchison 3G Australia</t>
  </si>
  <si>
    <t>Vodacom refers to the Group’s interests in Vodacom Group (Pty) Limited and its subsidiaries including those located outside of South Africa.</t>
  </si>
  <si>
    <t>With effect from 28 May 2008 'other’ minutes within the Africa and Central Europe area exclude the Group’s share of minutes for Safaricom as it is accounted for as an associate following the allocation of shares in its public offering and termination of the shareholders’ agreement with the Government of Kenya.</t>
  </si>
  <si>
    <t>With effect from the quarter ended 31 March 2009 ARPU for India excludes revenues from Indus Towers. All periods are presented on a comparable basis.</t>
  </si>
  <si>
    <t>On 1 October 2007 Romania rebased all of its tariffs and changed its functional currency from US dollars to euros.  In calculating all constant exchange rate and organic metrics which include Romania previous US dollar amounts have been translated into euros at the 1 October 2007 US$/euro exchange rate.</t>
  </si>
  <si>
    <t>Proportionate customer numbers are based on equity interests as at the end of each quarter. The calculation of proportionate customers for India also assumes the exercise of call options that could increase the Group's equity interest from 51.58% to 66.98%. These call options can only be exercised in accordance with Indian law prevailing at the time of exercise.</t>
  </si>
  <si>
    <t>Total voice minute information presented in the table above represents network minutes or the volume of minutes handled by each local network, and includes incoming, outgoing and visitor calls. The voice minute information in respect of Germany and New Zealand reflects billed minutes under which calls are rounded up to the nearest minute under certain tariffs.</t>
  </si>
  <si>
    <t>Vodafone Essar is included from 8 May 2007 and during the quarter ended 31 December 2008 historical mobile voice usage volumes were restated to eliminate inter-circle minutes.</t>
  </si>
  <si>
    <t>On 1 October 2007 Romania rebased all of its tariffs and changed its functional currency from US dollars to euros. Historical ARPU numbers have been translated at the 1 October 2007 US$/euro exchange rate.</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</si>
</sst>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_-;\(#,###\);_-* &quot;-&quot;??_-;_-@_-"/>
    <numFmt numFmtId="168" formatCode="_-* #,###.0_-;\(#,###.0\);_-* &quot;-&quot;??_-;_-@_-"/>
    <numFmt numFmtId="169" formatCode="_-* #,##0.0_-;\(#,##0.0\);_-* &quot;-&quot;??_-;_-@_-"/>
    <numFmt numFmtId="170" formatCode="#,##0\ ;\(#,##0\)"/>
    <numFmt numFmtId="171" formatCode="#,##0\ ;\(#,##0\);\-\ ;"/>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Red]#,##0"/>
    <numFmt numFmtId="178" formatCode=";\(\(#,###\)\);"/>
    <numFmt numFmtId="179" formatCode=";\(#,###\);;"/>
    <numFmt numFmtId="180" formatCode="#,###;\(#,###\)"/>
    <numFmt numFmtId="181" formatCode="d\-mmm\-yyyy"/>
    <numFmt numFmtId="182" formatCode="[$-809]dd\ mmmm\ yyyy"/>
    <numFmt numFmtId="183" formatCode="[$-F800]dddd\,\ mmmm\ dd\,\ yyyy"/>
    <numFmt numFmtId="184" formatCode="0.0"/>
    <numFmt numFmtId="185" formatCode="#,##0.0"/>
    <numFmt numFmtId="186" formatCode="_(* #,##0.00_);_(* \(#,##0.00\);_(* &quot;-&quot;??_);_(@_)"/>
    <numFmt numFmtId="187" formatCode="_(* #,##0_);_(* \(#,##0\);_(* &quot;-&quot;_);_(@_)"/>
    <numFmt numFmtId="188" formatCode="_(&quot;$&quot;* #,##0.00_);_(&quot;$&quot;* \(#,##0.00\);_(&quot;$&quot;* &quot;-&quot;??_);_(@_)"/>
    <numFmt numFmtId="189" formatCode="_(&quot;$&quot;* #,##0_);_(&quot;$&quot;* \(#,##0\);_(&quot;$&quot;* &quot;-&quot;_);_(@_)"/>
    <numFmt numFmtId="190" formatCode="_-* #,##0.0_-;\-* #,##0.0_-;_-* &quot;-&quot;?_-;_-@_-"/>
    <numFmt numFmtId="191" formatCode="#,##0\ ;\(#,##0\);\-"/>
    <numFmt numFmtId="192" formatCode="#,##0.0\ ;\(#,##0.0\);\-\ ;"/>
    <numFmt numFmtId="193" formatCode="#,##0.00\ ;\(#,##0.00\);\-\ ;"/>
    <numFmt numFmtId="194" formatCode="#,##0.000\ ;\(#,##0.000\);\-\ ;"/>
    <numFmt numFmtId="195" formatCode="#,##0.0000\ ;\(#,##0.0000\);\-\ ;"/>
    <numFmt numFmtId="196" formatCode="_-* #,###.00_-;\(#,###.00\);_-* &quot;-&quot;??_-;_-@_-"/>
    <numFmt numFmtId="197" formatCode="_-* #,##0_-;\(#,##0\);_-* &quot;-&quot;??_-;_-@_-"/>
  </numFmts>
  <fonts count="30">
    <font>
      <sz val="10"/>
      <name val="Arial"/>
      <family val="0"/>
    </font>
    <font>
      <sz val="8"/>
      <name val="Arial"/>
      <family val="0"/>
    </font>
    <font>
      <u val="single"/>
      <sz val="10"/>
      <color indexed="12"/>
      <name val="Arial"/>
      <family val="0"/>
    </font>
    <font>
      <u val="single"/>
      <sz val="10"/>
      <color indexed="36"/>
      <name val="Arial"/>
      <family val="0"/>
    </font>
    <font>
      <b/>
      <sz val="9"/>
      <name val="Vodafone Rg"/>
      <family val="2"/>
    </font>
    <font>
      <sz val="9"/>
      <name val="Arial"/>
      <family val="2"/>
    </font>
    <font>
      <sz val="16"/>
      <name val="Arial"/>
      <family val="2"/>
    </font>
    <font>
      <sz val="10"/>
      <name val="Vodafone Rg"/>
      <family val="2"/>
    </font>
    <font>
      <b/>
      <sz val="12"/>
      <name val="Vodafone Rg"/>
      <family val="2"/>
    </font>
    <font>
      <b/>
      <sz val="11"/>
      <name val="Vodafone Rg"/>
      <family val="2"/>
    </font>
    <font>
      <b/>
      <sz val="10"/>
      <name val="Vodafone Rg"/>
      <family val="2"/>
    </font>
    <font>
      <b/>
      <sz val="18"/>
      <name val="Vodafone Rg"/>
      <family val="2"/>
    </font>
    <font>
      <vertAlign val="superscript"/>
      <sz val="10"/>
      <name val="Vodafone Rg"/>
      <family val="2"/>
    </font>
    <font>
      <sz val="8"/>
      <name val="Vodafone Rg"/>
      <family val="2"/>
    </font>
    <font>
      <sz val="10"/>
      <color indexed="10"/>
      <name val="Vodafone Rg"/>
      <family val="2"/>
    </font>
    <font>
      <b/>
      <sz val="12"/>
      <color indexed="8"/>
      <name val="Vodafone Rg"/>
      <family val="2"/>
    </font>
    <font>
      <sz val="10"/>
      <color indexed="8"/>
      <name val="Vodafone Rg"/>
      <family val="2"/>
    </font>
    <font>
      <vertAlign val="superscript"/>
      <sz val="10"/>
      <color indexed="8"/>
      <name val="Vodafone Rg"/>
      <family val="2"/>
    </font>
    <font>
      <b/>
      <sz val="10"/>
      <color indexed="8"/>
      <name val="Vodafone Rg"/>
      <family val="2"/>
    </font>
    <font>
      <b/>
      <sz val="9.5"/>
      <color indexed="8"/>
      <name val="Vodafone Rg"/>
      <family val="2"/>
    </font>
    <font>
      <sz val="9.5"/>
      <color indexed="10"/>
      <name val="Vodafone Rg"/>
      <family val="2"/>
    </font>
    <font>
      <sz val="9.5"/>
      <name val="Vodafone Rg"/>
      <family val="2"/>
    </font>
    <font>
      <sz val="4"/>
      <color indexed="8"/>
      <name val="Vodafone Rg"/>
      <family val="2"/>
    </font>
    <font>
      <b/>
      <vertAlign val="superscript"/>
      <sz val="10"/>
      <name val="Vodafone Rg"/>
      <family val="2"/>
    </font>
    <font>
      <b/>
      <sz val="10"/>
      <color indexed="10"/>
      <name val="Vodafone Rg"/>
      <family val="2"/>
    </font>
    <font>
      <b/>
      <u val="single"/>
      <sz val="14"/>
      <color indexed="12"/>
      <name val="Vodafone Rg"/>
      <family val="2"/>
    </font>
    <font>
      <vertAlign val="superscript"/>
      <sz val="8"/>
      <name val="Vodafone Rg"/>
      <family val="2"/>
    </font>
    <font>
      <b/>
      <u val="single"/>
      <sz val="10"/>
      <name val="Vodafone Rg"/>
      <family val="2"/>
    </font>
    <font>
      <b/>
      <sz val="14"/>
      <name val="Vodafone Rg"/>
      <family val="2"/>
    </font>
    <font>
      <sz val="9"/>
      <name val="Vodafone Rg"/>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45">
    <xf numFmtId="0" fontId="0" fillId="0" borderId="0" xfId="0"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lignment/>
    </xf>
    <xf numFmtId="0" fontId="10" fillId="2" borderId="0" xfId="0" applyFont="1" applyFill="1" applyAlignment="1">
      <alignment/>
    </xf>
    <xf numFmtId="0" fontId="7" fillId="2" borderId="0" xfId="0" applyFont="1" applyFill="1" applyAlignment="1">
      <alignment/>
    </xf>
    <xf numFmtId="0" fontId="7" fillId="2" borderId="0" xfId="0" applyFont="1" applyFill="1" applyBorder="1" applyAlignment="1">
      <alignment horizontal="right"/>
    </xf>
    <xf numFmtId="0" fontId="9" fillId="0" borderId="0" xfId="0" applyFont="1" applyBorder="1" applyAlignment="1">
      <alignment horizontal="left"/>
    </xf>
    <xf numFmtId="0" fontId="11" fillId="0" borderId="0" xfId="0" applyFont="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right"/>
    </xf>
    <xf numFmtId="0" fontId="10" fillId="0" borderId="0" xfId="0" applyFont="1" applyFill="1" applyBorder="1" applyAlignment="1">
      <alignment/>
    </xf>
    <xf numFmtId="166" fontId="7" fillId="0" borderId="0" xfId="15" applyNumberFormat="1" applyFont="1" applyFill="1" applyBorder="1" applyAlignment="1">
      <alignment/>
    </xf>
    <xf numFmtId="165" fontId="7" fillId="0" borderId="0" xfId="15" applyNumberFormat="1" applyFont="1" applyFill="1" applyBorder="1" applyAlignment="1">
      <alignment/>
    </xf>
    <xf numFmtId="167" fontId="7" fillId="0" borderId="1" xfId="15" applyNumberFormat="1" applyFont="1" applyFill="1" applyBorder="1" applyAlignment="1">
      <alignment/>
    </xf>
    <xf numFmtId="184" fontId="7" fillId="0" borderId="0" xfId="0" applyNumberFormat="1" applyFont="1" applyFill="1" applyBorder="1" applyAlignment="1">
      <alignment/>
    </xf>
    <xf numFmtId="169" fontId="7" fillId="0" borderId="0" xfId="15" applyNumberFormat="1" applyFont="1" applyFill="1" applyBorder="1" applyAlignment="1">
      <alignment/>
    </xf>
    <xf numFmtId="166" fontId="7" fillId="0" borderId="0" xfId="15" applyNumberFormat="1" applyFont="1" applyFill="1" applyAlignment="1">
      <alignment/>
    </xf>
    <xf numFmtId="167" fontId="7" fillId="0" borderId="0" xfId="15" applyNumberFormat="1" applyFont="1" applyFill="1" applyBorder="1" applyAlignment="1">
      <alignment/>
    </xf>
    <xf numFmtId="168" fontId="7" fillId="0" borderId="0" xfId="15" applyNumberFormat="1" applyFont="1" applyFill="1" applyBorder="1" applyAlignment="1">
      <alignment/>
    </xf>
    <xf numFmtId="164" fontId="7" fillId="0" borderId="0" xfId="22" applyNumberFormat="1" applyFont="1" applyFill="1" applyAlignment="1">
      <alignment/>
    </xf>
    <xf numFmtId="167" fontId="7" fillId="0" borderId="2" xfId="15" applyNumberFormat="1" applyFont="1" applyFill="1" applyBorder="1" applyAlignment="1">
      <alignment/>
    </xf>
    <xf numFmtId="167" fontId="7" fillId="0" borderId="2" xfId="15" applyNumberFormat="1" applyFont="1" applyFill="1" applyBorder="1" applyAlignment="1">
      <alignment/>
    </xf>
    <xf numFmtId="167" fontId="7" fillId="0" borderId="0" xfId="15" applyNumberFormat="1" applyFont="1" applyFill="1" applyBorder="1" applyAlignment="1">
      <alignment/>
    </xf>
    <xf numFmtId="167" fontId="7" fillId="0" borderId="3" xfId="15" applyNumberFormat="1" applyFont="1" applyFill="1" applyBorder="1" applyAlignment="1">
      <alignment/>
    </xf>
    <xf numFmtId="167" fontId="7" fillId="0" borderId="0" xfId="15" applyNumberFormat="1" applyFont="1" applyFill="1" applyBorder="1" applyAlignment="1">
      <alignment horizontal="right"/>
    </xf>
    <xf numFmtId="169" fontId="7" fillId="0" borderId="0" xfId="15" applyNumberFormat="1" applyFont="1" applyFill="1" applyBorder="1" applyAlignment="1">
      <alignment horizontal="justify"/>
    </xf>
    <xf numFmtId="169" fontId="7" fillId="0" borderId="0" xfId="0" applyNumberFormat="1" applyFont="1" applyFill="1" applyBorder="1" applyAlignment="1">
      <alignment/>
    </xf>
    <xf numFmtId="167" fontId="7" fillId="0" borderId="0" xfId="15" applyNumberFormat="1" applyFont="1" applyFill="1" applyBorder="1" applyAlignment="1">
      <alignment horizontal="justify"/>
    </xf>
    <xf numFmtId="0" fontId="13" fillId="0" borderId="0" xfId="0" applyFont="1" applyFill="1" applyBorder="1" applyAlignment="1">
      <alignment/>
    </xf>
    <xf numFmtId="0" fontId="7" fillId="0" borderId="0" xfId="0" applyFont="1" applyFill="1" applyBorder="1" applyAlignment="1">
      <alignment horizontal="left"/>
    </xf>
    <xf numFmtId="0" fontId="8" fillId="0" borderId="0" xfId="0" applyFont="1" applyFill="1" applyBorder="1" applyAlignment="1">
      <alignment/>
    </xf>
    <xf numFmtId="167" fontId="7" fillId="0" borderId="0" xfId="0" applyNumberFormat="1" applyFont="1" applyFill="1" applyBorder="1" applyAlignment="1">
      <alignment/>
    </xf>
    <xf numFmtId="167" fontId="7" fillId="0" borderId="0" xfId="0" applyNumberFormat="1" applyFont="1" applyFill="1" applyBorder="1" applyAlignment="1">
      <alignment horizontal="right"/>
    </xf>
    <xf numFmtId="167" fontId="10" fillId="0" borderId="0" xfId="0" applyNumberFormat="1" applyFont="1" applyFill="1" applyBorder="1" applyAlignment="1">
      <alignment/>
    </xf>
    <xf numFmtId="164" fontId="7" fillId="0" borderId="0" xfId="22" applyNumberFormat="1" applyFont="1" applyFill="1" applyBorder="1" applyAlignment="1">
      <alignment/>
    </xf>
    <xf numFmtId="0" fontId="7"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Alignment="1">
      <alignment/>
    </xf>
    <xf numFmtId="164" fontId="10" fillId="0" borderId="0" xfId="22" applyNumberFormat="1" applyFont="1" applyFill="1" applyBorder="1" applyAlignment="1">
      <alignment/>
    </xf>
    <xf numFmtId="167" fontId="7" fillId="0" borderId="0" xfId="0" applyNumberFormat="1" applyFont="1" applyFill="1" applyBorder="1" applyAlignment="1">
      <alignment horizontal="justify"/>
    </xf>
    <xf numFmtId="167" fontId="10" fillId="0" borderId="0" xfId="0" applyNumberFormat="1" applyFont="1" applyFill="1" applyBorder="1" applyAlignment="1">
      <alignment horizontal="justify"/>
    </xf>
    <xf numFmtId="49" fontId="7" fillId="0" borderId="0" xfId="0" applyNumberFormat="1" applyFont="1" applyFill="1" applyBorder="1" applyAlignment="1">
      <alignment horizontal="left"/>
    </xf>
    <xf numFmtId="0" fontId="10" fillId="0" borderId="0" xfId="0" applyFont="1" applyFill="1" applyBorder="1" applyAlignment="1">
      <alignment/>
    </xf>
    <xf numFmtId="49" fontId="7" fillId="0" borderId="0" xfId="0" applyNumberFormat="1" applyFont="1" applyFill="1" applyBorder="1" applyAlignment="1">
      <alignment/>
    </xf>
    <xf numFmtId="0" fontId="10" fillId="0" borderId="0" xfId="0" applyFont="1" applyFill="1" applyBorder="1" applyAlignment="1">
      <alignment horizontal="right"/>
    </xf>
    <xf numFmtId="167" fontId="7" fillId="0" borderId="1" xfId="0" applyNumberFormat="1" applyFont="1" applyFill="1" applyBorder="1" applyAlignment="1">
      <alignment/>
    </xf>
    <xf numFmtId="0" fontId="7" fillId="0" borderId="0" xfId="0" applyFont="1" applyFill="1" applyBorder="1" applyAlignment="1">
      <alignment vertical="top"/>
    </xf>
    <xf numFmtId="167" fontId="7" fillId="0" borderId="2" xfId="0" applyNumberFormat="1" applyFont="1" applyFill="1" applyBorder="1" applyAlignment="1">
      <alignment/>
    </xf>
    <xf numFmtId="167" fontId="10" fillId="0" borderId="2" xfId="0" applyNumberFormat="1" applyFont="1" applyFill="1" applyBorder="1" applyAlignment="1">
      <alignment/>
    </xf>
    <xf numFmtId="167" fontId="7" fillId="0" borderId="3" xfId="0" applyNumberFormat="1" applyFont="1" applyFill="1" applyBorder="1" applyAlignment="1">
      <alignment/>
    </xf>
    <xf numFmtId="167" fontId="10" fillId="0" borderId="3" xfId="0" applyNumberFormat="1" applyFont="1" applyFill="1" applyBorder="1" applyAlignment="1">
      <alignment/>
    </xf>
    <xf numFmtId="0" fontId="14" fillId="0" borderId="0" xfId="0" applyFont="1" applyFill="1" applyBorder="1" applyAlignment="1">
      <alignment horizontal="justify" vertical="top"/>
    </xf>
    <xf numFmtId="0" fontId="15" fillId="0" borderId="0" xfId="0" applyFont="1" applyFill="1" applyBorder="1" applyAlignment="1">
      <alignment vertical="top"/>
    </xf>
    <xf numFmtId="0" fontId="10" fillId="0" borderId="0" xfId="0" applyFont="1" applyFill="1" applyBorder="1" applyAlignment="1">
      <alignment vertical="top"/>
    </xf>
    <xf numFmtId="0" fontId="16" fillId="0" borderId="0" xfId="0" applyFont="1" applyFill="1" applyBorder="1" applyAlignment="1">
      <alignment vertical="top"/>
    </xf>
    <xf numFmtId="0" fontId="18" fillId="0" borderId="0" xfId="0" applyFont="1" applyFill="1" applyBorder="1" applyAlignment="1">
      <alignment vertical="top"/>
    </xf>
    <xf numFmtId="0" fontId="19" fillId="0" borderId="0" xfId="0" applyFont="1" applyFill="1" applyBorder="1" applyAlignment="1">
      <alignment vertical="top"/>
    </xf>
    <xf numFmtId="0" fontId="20" fillId="0" borderId="0" xfId="0" applyFont="1" applyFill="1" applyBorder="1" applyAlignment="1">
      <alignment vertical="top"/>
    </xf>
    <xf numFmtId="0" fontId="8" fillId="0" borderId="0" xfId="0" applyFont="1" applyFill="1" applyBorder="1" applyAlignment="1">
      <alignment vertical="top"/>
    </xf>
    <xf numFmtId="168" fontId="7" fillId="0" borderId="0" xfId="0" applyNumberFormat="1" applyFont="1" applyFill="1" applyBorder="1" applyAlignment="1">
      <alignment/>
    </xf>
    <xf numFmtId="0" fontId="21" fillId="0" borderId="0" xfId="0" applyFont="1" applyFill="1" applyBorder="1" applyAlignment="1">
      <alignment vertical="top" wrapText="1"/>
    </xf>
    <xf numFmtId="0" fontId="13" fillId="0" borderId="0" xfId="0" applyFont="1" applyFill="1" applyBorder="1" applyAlignment="1">
      <alignment horizontal="left" vertical="top"/>
    </xf>
    <xf numFmtId="0" fontId="21" fillId="0" borderId="0" xfId="0" applyFont="1" applyFill="1" applyBorder="1" applyAlignment="1">
      <alignment horizontal="left" vertical="top"/>
    </xf>
    <xf numFmtId="0" fontId="22" fillId="0" borderId="0" xfId="0" applyFont="1" applyFill="1" applyBorder="1" applyAlignment="1">
      <alignment horizontal="left" vertical="top"/>
    </xf>
    <xf numFmtId="0" fontId="14" fillId="0" borderId="0" xfId="0" applyFont="1" applyFill="1" applyBorder="1" applyAlignment="1">
      <alignment/>
    </xf>
    <xf numFmtId="0" fontId="7" fillId="0" borderId="4" xfId="0" applyFont="1" applyFill="1" applyBorder="1" applyAlignment="1">
      <alignment/>
    </xf>
    <xf numFmtId="167" fontId="7" fillId="0" borderId="4" xfId="0" applyNumberFormat="1" applyFont="1" applyFill="1" applyBorder="1" applyAlignment="1">
      <alignment/>
    </xf>
    <xf numFmtId="0" fontId="7" fillId="0" borderId="2" xfId="0" applyFont="1" applyFill="1" applyBorder="1" applyAlignment="1">
      <alignment/>
    </xf>
    <xf numFmtId="167" fontId="7" fillId="0" borderId="2" xfId="0" applyNumberFormat="1" applyFont="1" applyFill="1" applyBorder="1" applyAlignment="1">
      <alignment horizontal="justify"/>
    </xf>
    <xf numFmtId="167" fontId="10" fillId="0" borderId="2" xfId="0" applyNumberFormat="1" applyFont="1" applyFill="1" applyBorder="1" applyAlignment="1">
      <alignment horizontal="justify"/>
    </xf>
    <xf numFmtId="0" fontId="7" fillId="0" borderId="0" xfId="0" applyFont="1" applyFill="1" applyBorder="1" applyAlignment="1">
      <alignment horizontal="justify" vertical="top"/>
    </xf>
    <xf numFmtId="0" fontId="10" fillId="0" borderId="0" xfId="0" applyFont="1" applyFill="1" applyBorder="1" applyAlignment="1">
      <alignment horizontal="center"/>
    </xf>
    <xf numFmtId="0" fontId="7" fillId="0" borderId="0" xfId="0" applyFont="1" applyFill="1" applyBorder="1" applyAlignment="1">
      <alignment horizontal="left" vertical="top" wrapText="1"/>
    </xf>
    <xf numFmtId="0" fontId="7" fillId="0" borderId="0" xfId="0" applyFont="1" applyFill="1" applyBorder="1" applyAlignment="1">
      <alignment horizontal="right" vertical="top" wrapText="1"/>
    </xf>
    <xf numFmtId="0" fontId="10" fillId="0" borderId="0" xfId="0" applyFont="1" applyFill="1" applyBorder="1" applyAlignment="1">
      <alignment horizontal="right" vertical="top" wrapText="1"/>
    </xf>
    <xf numFmtId="0" fontId="7" fillId="0" borderId="0" xfId="0" applyFont="1" applyFill="1" applyBorder="1" applyAlignment="1">
      <alignment horizontal="justify" vertical="top" wrapText="1"/>
    </xf>
    <xf numFmtId="0" fontId="7"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167" fontId="7" fillId="0" borderId="0" xfId="0" applyNumberFormat="1" applyFont="1" applyFill="1" applyBorder="1" applyAlignment="1">
      <alignment horizontal="right" vertical="top" wrapText="1"/>
    </xf>
    <xf numFmtId="167" fontId="10" fillId="0" borderId="0" xfId="0" applyNumberFormat="1" applyFont="1" applyFill="1" applyBorder="1" applyAlignment="1">
      <alignment horizontal="right" vertical="top" wrapText="1"/>
    </xf>
    <xf numFmtId="167" fontId="7" fillId="0" borderId="0" xfId="0" applyNumberFormat="1" applyFont="1" applyFill="1" applyBorder="1" applyAlignment="1">
      <alignment horizontal="justify" vertical="top" wrapText="1"/>
    </xf>
    <xf numFmtId="167" fontId="7" fillId="0" borderId="0" xfId="0" applyNumberFormat="1" applyFont="1" applyFill="1" applyBorder="1" applyAlignment="1">
      <alignment horizontal="center" vertical="top" wrapText="1"/>
    </xf>
    <xf numFmtId="167" fontId="10" fillId="0" borderId="0" xfId="0" applyNumberFormat="1" applyFont="1" applyFill="1" applyBorder="1" applyAlignment="1">
      <alignment horizontal="center" vertical="top" wrapText="1"/>
    </xf>
    <xf numFmtId="167" fontId="7" fillId="0" borderId="2" xfId="0" applyNumberFormat="1" applyFont="1" applyFill="1" applyBorder="1" applyAlignment="1">
      <alignment horizontal="right" vertical="top" wrapText="1"/>
    </xf>
    <xf numFmtId="167" fontId="10" fillId="0" borderId="2" xfId="0" applyNumberFormat="1" applyFont="1" applyFill="1" applyBorder="1" applyAlignment="1">
      <alignment horizontal="right" vertical="top" wrapText="1"/>
    </xf>
    <xf numFmtId="0" fontId="10" fillId="0" borderId="0" xfId="0" applyFont="1" applyFill="1" applyBorder="1" applyAlignment="1">
      <alignment horizontal="left" vertical="top" wrapText="1"/>
    </xf>
    <xf numFmtId="0" fontId="7" fillId="0" borderId="0" xfId="0" applyFont="1" applyFill="1" applyAlignment="1">
      <alignment horizontal="right"/>
    </xf>
    <xf numFmtId="0" fontId="10" fillId="0" borderId="0" xfId="0" applyFont="1" applyFill="1" applyAlignment="1">
      <alignment horizontal="right"/>
    </xf>
    <xf numFmtId="0" fontId="7" fillId="0" borderId="0" xfId="0" applyFont="1" applyFill="1" applyAlignment="1">
      <alignment horizontal="center"/>
    </xf>
    <xf numFmtId="0" fontId="10" fillId="0" borderId="0" xfId="0" applyFont="1" applyFill="1" applyAlignment="1">
      <alignment horizontal="center"/>
    </xf>
    <xf numFmtId="0" fontId="10"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left" vertical="top" wrapText="1"/>
    </xf>
    <xf numFmtId="0" fontId="7" fillId="0" borderId="0" xfId="0" applyFont="1" applyBorder="1" applyAlignment="1">
      <alignment horizontal="right" vertical="top" wrapText="1"/>
    </xf>
    <xf numFmtId="0" fontId="7" fillId="0" borderId="0" xfId="0" applyFont="1" applyAlignment="1">
      <alignment/>
    </xf>
    <xf numFmtId="0" fontId="7" fillId="0" borderId="0" xfId="0" applyFont="1" applyBorder="1" applyAlignment="1">
      <alignment horizontal="justify" vertical="top" wrapText="1"/>
    </xf>
    <xf numFmtId="0" fontId="10" fillId="0" borderId="0" xfId="0" applyFont="1" applyBorder="1" applyAlignment="1">
      <alignment vertical="top"/>
    </xf>
    <xf numFmtId="0" fontId="10" fillId="0" borderId="0" xfId="0" applyFont="1" applyBorder="1" applyAlignment="1">
      <alignment horizontal="left" vertical="top" wrapText="1"/>
    </xf>
    <xf numFmtId="0" fontId="7" fillId="0" borderId="0" xfId="0" applyFont="1" applyBorder="1" applyAlignment="1">
      <alignment vertical="top"/>
    </xf>
    <xf numFmtId="167" fontId="7" fillId="0" borderId="0" xfId="0" applyNumberFormat="1" applyFont="1" applyBorder="1" applyAlignment="1">
      <alignment horizontal="right" vertical="top" wrapText="1"/>
    </xf>
    <xf numFmtId="167" fontId="7" fillId="0" borderId="0" xfId="0" applyNumberFormat="1" applyFont="1" applyBorder="1" applyAlignment="1">
      <alignment horizontal="justify" vertical="top" wrapText="1"/>
    </xf>
    <xf numFmtId="49" fontId="7" fillId="0" borderId="0" xfId="0" applyNumberFormat="1" applyFont="1" applyBorder="1" applyAlignment="1">
      <alignment/>
    </xf>
    <xf numFmtId="0" fontId="7" fillId="0" borderId="0" xfId="0" applyFont="1" applyBorder="1" applyAlignment="1">
      <alignment/>
    </xf>
    <xf numFmtId="0" fontId="7" fillId="0" borderId="0" xfId="0" applyFont="1" applyFill="1" applyAlignment="1">
      <alignment/>
    </xf>
    <xf numFmtId="0" fontId="7" fillId="0" borderId="0" xfId="0" applyFont="1" applyFill="1" applyBorder="1" applyAlignment="1">
      <alignment horizontal="justify" wrapText="1"/>
    </xf>
    <xf numFmtId="0" fontId="24" fillId="0" borderId="0" xfId="0" applyFont="1" applyFill="1" applyBorder="1" applyAlignment="1">
      <alignment horizontal="center"/>
    </xf>
    <xf numFmtId="0" fontId="7" fillId="0" borderId="0" xfId="0" applyFont="1" applyFill="1" applyAlignment="1">
      <alignment horizontal="center" wrapText="1"/>
    </xf>
    <xf numFmtId="0" fontId="7" fillId="0" borderId="0" xfId="0" applyFont="1" applyFill="1" applyAlignment="1">
      <alignment horizontal="justify" wrapText="1"/>
    </xf>
    <xf numFmtId="171" fontId="7" fillId="0" borderId="0" xfId="0" applyNumberFormat="1" applyFont="1" applyFill="1" applyAlignment="1">
      <alignment/>
    </xf>
    <xf numFmtId="171" fontId="7" fillId="0" borderId="2" xfId="0" applyNumberFormat="1" applyFont="1" applyFill="1" applyBorder="1" applyAlignment="1">
      <alignment/>
    </xf>
    <xf numFmtId="171" fontId="10" fillId="0" borderId="3" xfId="0" applyNumberFormat="1" applyFont="1" applyFill="1" applyBorder="1" applyAlignment="1">
      <alignment/>
    </xf>
    <xf numFmtId="171" fontId="7" fillId="0" borderId="0" xfId="0" applyNumberFormat="1" applyFont="1" applyFill="1" applyBorder="1" applyAlignment="1">
      <alignment/>
    </xf>
    <xf numFmtId="171" fontId="10" fillId="0" borderId="0" xfId="0" applyNumberFormat="1" applyFont="1" applyFill="1" applyBorder="1" applyAlignment="1">
      <alignment/>
    </xf>
    <xf numFmtId="170" fontId="7" fillId="0" borderId="0" xfId="0" applyNumberFormat="1" applyFont="1" applyFill="1" applyAlignment="1">
      <alignment/>
    </xf>
    <xf numFmtId="170" fontId="10" fillId="0" borderId="0" xfId="0" applyNumberFormat="1" applyFont="1" applyFill="1" applyBorder="1" applyAlignment="1">
      <alignment/>
    </xf>
    <xf numFmtId="0" fontId="12" fillId="0" borderId="0" xfId="0" applyFont="1" applyFill="1" applyBorder="1" applyAlignment="1">
      <alignment/>
    </xf>
    <xf numFmtId="0" fontId="24" fillId="0" borderId="0" xfId="0" applyFont="1" applyFill="1" applyAlignment="1">
      <alignment horizontal="center"/>
    </xf>
    <xf numFmtId="171" fontId="10" fillId="0" borderId="5" xfId="0" applyNumberFormat="1" applyFont="1" applyFill="1" applyBorder="1" applyAlignment="1">
      <alignment/>
    </xf>
    <xf numFmtId="164" fontId="10" fillId="0" borderId="5" xfId="22" applyNumberFormat="1" applyFont="1" applyFill="1" applyBorder="1" applyAlignment="1">
      <alignment/>
    </xf>
    <xf numFmtId="171" fontId="7" fillId="0" borderId="5" xfId="0" applyNumberFormat="1" applyFont="1" applyFill="1" applyBorder="1" applyAlignment="1">
      <alignment/>
    </xf>
    <xf numFmtId="165" fontId="7" fillId="0" borderId="0" xfId="15" applyNumberFormat="1" applyFont="1" applyFill="1" applyAlignment="1">
      <alignment/>
    </xf>
    <xf numFmtId="170" fontId="7" fillId="0" borderId="0" xfId="0" applyNumberFormat="1" applyFont="1" applyFill="1" applyBorder="1" applyAlignment="1">
      <alignment/>
    </xf>
    <xf numFmtId="0" fontId="10" fillId="0" borderId="0" xfId="0" applyFont="1" applyFill="1" applyAlignment="1">
      <alignment horizontal="left" indent="1"/>
    </xf>
    <xf numFmtId="165" fontId="10" fillId="0" borderId="0" xfId="15" applyNumberFormat="1" applyFont="1" applyFill="1" applyBorder="1" applyAlignment="1">
      <alignment/>
    </xf>
    <xf numFmtId="0" fontId="10" fillId="0" borderId="0" xfId="0" applyFont="1" applyFill="1" applyAlignment="1">
      <alignment horizontal="justify" wrapText="1"/>
    </xf>
    <xf numFmtId="0" fontId="7" fillId="0" borderId="0" xfId="0" applyFont="1" applyFill="1" applyAlignment="1">
      <alignment horizontal="left" indent="1"/>
    </xf>
    <xf numFmtId="165" fontId="7" fillId="0" borderId="0" xfId="15" applyNumberFormat="1" applyFont="1" applyFill="1" applyBorder="1" applyAlignment="1">
      <alignment/>
    </xf>
    <xf numFmtId="166" fontId="10" fillId="0" borderId="0" xfId="15" applyNumberFormat="1" applyFont="1" applyFill="1" applyBorder="1" applyAlignment="1">
      <alignment/>
    </xf>
    <xf numFmtId="166" fontId="7" fillId="0" borderId="0" xfId="15" applyNumberFormat="1" applyFont="1" applyFill="1" applyBorder="1" applyAlignment="1">
      <alignment/>
    </xf>
    <xf numFmtId="166" fontId="7" fillId="0" borderId="0" xfId="15" applyNumberFormat="1" applyFont="1" applyFill="1" applyBorder="1" applyAlignment="1">
      <alignment horizontal="right"/>
    </xf>
    <xf numFmtId="164" fontId="7" fillId="0" borderId="0" xfId="22" applyNumberFormat="1" applyFont="1" applyFill="1" applyAlignment="1">
      <alignment horizontal="right"/>
    </xf>
    <xf numFmtId="0" fontId="7" fillId="0" borderId="0" xfId="21" applyFont="1">
      <alignment/>
      <protection/>
    </xf>
    <xf numFmtId="0" fontId="7" fillId="0" borderId="0" xfId="21" applyFont="1" applyAlignment="1">
      <alignment horizontal="left" vertical="top" wrapText="1" indent="1"/>
      <protection/>
    </xf>
    <xf numFmtId="0" fontId="7" fillId="0" borderId="0" xfId="21" applyFont="1" applyFill="1" applyAlignment="1">
      <alignment horizontal="left" vertical="top" wrapText="1" indent="1"/>
      <protection/>
    </xf>
    <xf numFmtId="0" fontId="7" fillId="0" borderId="0" xfId="21" applyFont="1" applyFill="1">
      <alignment/>
      <protection/>
    </xf>
    <xf numFmtId="0" fontId="7" fillId="0" borderId="0" xfId="21" applyNumberFormat="1" applyFont="1" applyAlignment="1">
      <alignment horizontal="left" vertical="top" wrapText="1" indent="1"/>
      <protection/>
    </xf>
    <xf numFmtId="0" fontId="10" fillId="0" borderId="0" xfId="21" applyFont="1">
      <alignment/>
      <protection/>
    </xf>
    <xf numFmtId="0" fontId="25" fillId="0" borderId="0" xfId="20" applyFont="1" applyBorder="1" applyAlignment="1">
      <alignment/>
    </xf>
    <xf numFmtId="0" fontId="7" fillId="2" borderId="0" xfId="0" applyFont="1" applyFill="1" applyBorder="1" applyAlignment="1">
      <alignment/>
    </xf>
    <xf numFmtId="0" fontId="10" fillId="2" borderId="0" xfId="0" applyFont="1" applyFill="1" applyBorder="1" applyAlignment="1">
      <alignment horizontal="right"/>
    </xf>
    <xf numFmtId="0" fontId="10" fillId="2" borderId="0" xfId="0" applyFont="1" applyFill="1" applyBorder="1" applyAlignment="1">
      <alignment/>
    </xf>
    <xf numFmtId="167" fontId="7" fillId="0" borderId="5" xfId="0" applyNumberFormat="1" applyFont="1" applyFill="1" applyBorder="1" applyAlignment="1">
      <alignment/>
    </xf>
    <xf numFmtId="167" fontId="10" fillId="0" borderId="5" xfId="0" applyNumberFormat="1" applyFont="1" applyFill="1" applyBorder="1" applyAlignment="1">
      <alignment/>
    </xf>
    <xf numFmtId="0" fontId="10" fillId="2" borderId="0" xfId="0" applyFont="1" applyFill="1" applyBorder="1" applyAlignment="1">
      <alignment/>
    </xf>
    <xf numFmtId="167" fontId="7" fillId="2" borderId="0" xfId="0" applyNumberFormat="1" applyFont="1" applyFill="1" applyBorder="1" applyAlignment="1">
      <alignment/>
    </xf>
    <xf numFmtId="0" fontId="7" fillId="2" borderId="0" xfId="0" applyFont="1" applyFill="1" applyBorder="1" applyAlignment="1">
      <alignment/>
    </xf>
    <xf numFmtId="167" fontId="7" fillId="2" borderId="0" xfId="0" applyNumberFormat="1" applyFont="1" applyFill="1" applyBorder="1" applyAlignment="1">
      <alignment horizontal="right"/>
    </xf>
    <xf numFmtId="167" fontId="10" fillId="2" borderId="0" xfId="0" applyNumberFormat="1" applyFont="1" applyFill="1" applyBorder="1" applyAlignment="1">
      <alignment horizontal="right"/>
    </xf>
    <xf numFmtId="164" fontId="7" fillId="2" borderId="0" xfId="22" applyNumberFormat="1" applyFont="1" applyFill="1" applyBorder="1" applyAlignment="1">
      <alignment horizontal="right"/>
    </xf>
    <xf numFmtId="167" fontId="10" fillId="2" borderId="0" xfId="0" applyNumberFormat="1" applyFont="1" applyFill="1" applyBorder="1" applyAlignment="1">
      <alignment/>
    </xf>
    <xf numFmtId="164" fontId="7" fillId="2" borderId="0" xfId="22" applyNumberFormat="1" applyFont="1" applyFill="1" applyBorder="1" applyAlignment="1">
      <alignment/>
    </xf>
    <xf numFmtId="0" fontId="7" fillId="2" borderId="0" xfId="0" applyFont="1" applyFill="1" applyBorder="1" applyAlignment="1">
      <alignment horizontal="left" vertical="top"/>
    </xf>
    <xf numFmtId="167" fontId="7" fillId="2" borderId="0" xfId="15" applyNumberFormat="1" applyFont="1" applyFill="1" applyBorder="1" applyAlignment="1">
      <alignment/>
    </xf>
    <xf numFmtId="167" fontId="10" fillId="2" borderId="0" xfId="15" applyNumberFormat="1" applyFont="1" applyFill="1" applyBorder="1" applyAlignment="1">
      <alignment/>
    </xf>
    <xf numFmtId="169" fontId="7" fillId="2" borderId="0" xfId="22" applyNumberFormat="1" applyFont="1" applyFill="1" applyBorder="1" applyAlignment="1">
      <alignment/>
    </xf>
    <xf numFmtId="167" fontId="7" fillId="2" borderId="2" xfId="15" applyNumberFormat="1" applyFont="1" applyFill="1" applyBorder="1" applyAlignment="1">
      <alignment/>
    </xf>
    <xf numFmtId="167" fontId="10" fillId="2" borderId="2" xfId="15" applyNumberFormat="1" applyFont="1" applyFill="1" applyBorder="1" applyAlignment="1">
      <alignment/>
    </xf>
    <xf numFmtId="0" fontId="10" fillId="2" borderId="0" xfId="0" applyFont="1" applyFill="1" applyBorder="1" applyAlignment="1">
      <alignment horizontal="left" vertical="top"/>
    </xf>
    <xf numFmtId="166" fontId="10" fillId="2" borderId="0" xfId="15" applyNumberFormat="1" applyFont="1" applyFill="1" applyBorder="1" applyAlignment="1">
      <alignment/>
    </xf>
    <xf numFmtId="0" fontId="7" fillId="2" borderId="0" xfId="0" applyFont="1" applyFill="1" applyBorder="1" applyAlignment="1">
      <alignment horizontal="left" vertical="top" indent="1"/>
    </xf>
    <xf numFmtId="167" fontId="7" fillId="2" borderId="0" xfId="15" applyNumberFormat="1" applyFont="1" applyFill="1" applyBorder="1" applyAlignment="1">
      <alignment horizontal="justify"/>
    </xf>
    <xf numFmtId="167" fontId="10" fillId="2" borderId="0" xfId="15" applyNumberFormat="1" applyFont="1" applyFill="1" applyBorder="1" applyAlignment="1">
      <alignment horizontal="justify"/>
    </xf>
    <xf numFmtId="167" fontId="7" fillId="2" borderId="3" xfId="15" applyNumberFormat="1" applyFont="1" applyFill="1" applyBorder="1" applyAlignment="1">
      <alignment/>
    </xf>
    <xf numFmtId="167" fontId="10" fillId="2" borderId="3" xfId="15" applyNumberFormat="1" applyFont="1" applyFill="1" applyBorder="1" applyAlignment="1">
      <alignment/>
    </xf>
    <xf numFmtId="164" fontId="10" fillId="2" borderId="0" xfId="22" applyNumberFormat="1" applyFont="1" applyFill="1" applyBorder="1" applyAlignment="1">
      <alignment/>
    </xf>
    <xf numFmtId="167" fontId="10" fillId="2" borderId="0" xfId="22" applyNumberFormat="1" applyFont="1" applyFill="1" applyBorder="1" applyAlignment="1">
      <alignment/>
    </xf>
    <xf numFmtId="0" fontId="7" fillId="2" borderId="6" xfId="0" applyFont="1" applyFill="1" applyBorder="1" applyAlignment="1">
      <alignment horizontal="left" vertical="top" indent="1"/>
    </xf>
    <xf numFmtId="0" fontId="7" fillId="2" borderId="4" xfId="0" applyFont="1" applyFill="1" applyBorder="1" applyAlignment="1">
      <alignment/>
    </xf>
    <xf numFmtId="167" fontId="7" fillId="2" borderId="4" xfId="15" applyNumberFormat="1" applyFont="1" applyFill="1" applyBorder="1" applyAlignment="1">
      <alignment/>
    </xf>
    <xf numFmtId="0" fontId="7" fillId="2" borderId="7" xfId="0" applyFont="1" applyFill="1" applyBorder="1" applyAlignment="1">
      <alignment horizontal="left" vertical="top" indent="1"/>
    </xf>
    <xf numFmtId="0" fontId="7" fillId="2" borderId="2" xfId="0" applyFont="1" applyFill="1" applyBorder="1" applyAlignment="1">
      <alignment/>
    </xf>
    <xf numFmtId="167" fontId="7" fillId="2" borderId="0" xfId="22" applyNumberFormat="1" applyFont="1" applyFill="1" applyBorder="1" applyAlignment="1">
      <alignment/>
    </xf>
    <xf numFmtId="167" fontId="7" fillId="2" borderId="2" xfId="15" applyNumberFormat="1" applyFont="1" applyFill="1" applyBorder="1" applyAlignment="1">
      <alignment horizontal="justify"/>
    </xf>
    <xf numFmtId="167" fontId="10" fillId="2" borderId="2" xfId="15" applyNumberFormat="1" applyFont="1" applyFill="1" applyBorder="1" applyAlignment="1">
      <alignment horizontal="justify"/>
    </xf>
    <xf numFmtId="0" fontId="7" fillId="2" borderId="0" xfId="0" applyFont="1" applyFill="1" applyBorder="1" applyAlignment="1">
      <alignment horizontal="justify"/>
    </xf>
    <xf numFmtId="167" fontId="7" fillId="2" borderId="0" xfId="22" applyNumberFormat="1" applyFont="1" applyFill="1" applyBorder="1" applyAlignment="1">
      <alignment horizontal="justify"/>
    </xf>
    <xf numFmtId="167" fontId="7" fillId="2" borderId="0" xfId="0" applyNumberFormat="1" applyFont="1" applyFill="1" applyBorder="1" applyAlignment="1">
      <alignment horizontal="justify"/>
    </xf>
    <xf numFmtId="169" fontId="7" fillId="2" borderId="0" xfId="22" applyNumberFormat="1" applyFont="1" applyFill="1" applyBorder="1" applyAlignment="1">
      <alignment horizontal="justify"/>
    </xf>
    <xf numFmtId="167" fontId="7" fillId="2" borderId="2" xfId="22" applyNumberFormat="1" applyFont="1" applyFill="1" applyBorder="1" applyAlignment="1">
      <alignment horizontal="justify"/>
    </xf>
    <xf numFmtId="167" fontId="10" fillId="2" borderId="0" xfId="0" applyNumberFormat="1" applyFont="1" applyFill="1" applyBorder="1" applyAlignment="1">
      <alignment horizontal="justify"/>
    </xf>
    <xf numFmtId="0" fontId="10" fillId="2" borderId="0" xfId="0" applyFont="1" applyFill="1" applyBorder="1" applyAlignment="1">
      <alignment horizontal="justify"/>
    </xf>
    <xf numFmtId="167" fontId="10" fillId="2" borderId="0" xfId="22" applyNumberFormat="1" applyFont="1" applyFill="1" applyBorder="1" applyAlignment="1">
      <alignment horizontal="justify"/>
    </xf>
    <xf numFmtId="167" fontId="10" fillId="2" borderId="3" xfId="15" applyNumberFormat="1" applyFont="1" applyFill="1" applyBorder="1" applyAlignment="1">
      <alignment horizontal="justify"/>
    </xf>
    <xf numFmtId="49" fontId="7" fillId="2" borderId="0" xfId="0" applyNumberFormat="1" applyFont="1" applyFill="1" applyBorder="1" applyAlignment="1">
      <alignment/>
    </xf>
    <xf numFmtId="49" fontId="7" fillId="2" borderId="0" xfId="0" applyNumberFormat="1" applyFont="1" applyFill="1" applyBorder="1" applyAlignment="1">
      <alignment horizontal="left"/>
    </xf>
    <xf numFmtId="0" fontId="7" fillId="2" borderId="0" xfId="0" applyFont="1" applyFill="1" applyBorder="1" applyAlignment="1">
      <alignment horizontal="left"/>
    </xf>
    <xf numFmtId="167" fontId="7" fillId="2" borderId="0" xfId="0" applyNumberFormat="1" applyFont="1" applyFill="1" applyAlignment="1">
      <alignment/>
    </xf>
    <xf numFmtId="167" fontId="10" fillId="2" borderId="0" xfId="0" applyNumberFormat="1" applyFont="1" applyFill="1" applyAlignment="1">
      <alignment/>
    </xf>
    <xf numFmtId="164" fontId="7" fillId="2" borderId="0" xfId="22" applyNumberFormat="1" applyFont="1" applyFill="1" applyAlignment="1">
      <alignment/>
    </xf>
    <xf numFmtId="167" fontId="10" fillId="2" borderId="1" xfId="0" applyNumberFormat="1" applyFont="1" applyFill="1" applyBorder="1" applyAlignment="1">
      <alignment/>
    </xf>
    <xf numFmtId="167" fontId="10" fillId="2" borderId="2" xfId="0" applyNumberFormat="1" applyFont="1" applyFill="1" applyBorder="1" applyAlignment="1">
      <alignment/>
    </xf>
    <xf numFmtId="167" fontId="10" fillId="2" borderId="3" xfId="0" applyNumberFormat="1" applyFont="1" applyFill="1" applyBorder="1" applyAlignment="1">
      <alignment/>
    </xf>
    <xf numFmtId="0" fontId="10" fillId="2" borderId="0" xfId="0" applyFont="1" applyFill="1" applyBorder="1" applyAlignment="1">
      <alignment horizontal="center"/>
    </xf>
    <xf numFmtId="166" fontId="7" fillId="2" borderId="0" xfId="15" applyNumberFormat="1" applyFont="1" applyFill="1" applyBorder="1" applyAlignment="1">
      <alignment/>
    </xf>
    <xf numFmtId="165" fontId="7" fillId="2" borderId="0" xfId="15" applyNumberFormat="1" applyFont="1" applyFill="1" applyBorder="1" applyAlignment="1">
      <alignment/>
    </xf>
    <xf numFmtId="169" fontId="7" fillId="2" borderId="0" xfId="0" applyNumberFormat="1" applyFont="1" applyFill="1" applyBorder="1" applyAlignment="1">
      <alignment/>
    </xf>
    <xf numFmtId="169" fontId="10" fillId="2" borderId="0" xfId="0" applyNumberFormat="1" applyFont="1" applyFill="1" applyBorder="1" applyAlignment="1">
      <alignment/>
    </xf>
    <xf numFmtId="0" fontId="7" fillId="0" borderId="6" xfId="0" applyFont="1" applyFill="1" applyBorder="1" applyAlignment="1">
      <alignment/>
    </xf>
    <xf numFmtId="0" fontId="10" fillId="0" borderId="7" xfId="0" applyFont="1" applyFill="1" applyBorder="1" applyAlignment="1">
      <alignment/>
    </xf>
    <xf numFmtId="0" fontId="7" fillId="0" borderId="8" xfId="0" applyFont="1" applyFill="1" applyBorder="1" applyAlignment="1">
      <alignment/>
    </xf>
    <xf numFmtId="166" fontId="10" fillId="0" borderId="0" xfId="15" applyNumberFormat="1" applyFont="1" applyFill="1" applyBorder="1" applyAlignment="1">
      <alignment/>
    </xf>
    <xf numFmtId="167" fontId="10" fillId="0" borderId="1" xfId="15" applyNumberFormat="1" applyFont="1" applyFill="1" applyBorder="1" applyAlignment="1">
      <alignment/>
    </xf>
    <xf numFmtId="167" fontId="10" fillId="0" borderId="0" xfId="15" applyNumberFormat="1" applyFont="1" applyFill="1" applyBorder="1" applyAlignment="1">
      <alignment/>
    </xf>
    <xf numFmtId="167" fontId="10" fillId="0" borderId="3" xfId="15" applyNumberFormat="1" applyFont="1" applyFill="1" applyBorder="1" applyAlignment="1">
      <alignment/>
    </xf>
    <xf numFmtId="167" fontId="10" fillId="0" borderId="0" xfId="15" applyNumberFormat="1" applyFont="1" applyFill="1" applyBorder="1" applyAlignment="1">
      <alignment horizontal="right"/>
    </xf>
    <xf numFmtId="167" fontId="10" fillId="0" borderId="0" xfId="15" applyNumberFormat="1" applyFont="1" applyFill="1" applyBorder="1" applyAlignment="1">
      <alignment/>
    </xf>
    <xf numFmtId="167" fontId="10" fillId="0" borderId="0" xfId="15" applyNumberFormat="1" applyFont="1" applyFill="1" applyBorder="1" applyAlignment="1">
      <alignment horizontal="justify"/>
    </xf>
    <xf numFmtId="166" fontId="7" fillId="0" borderId="2" xfId="15" applyNumberFormat="1" applyFont="1" applyFill="1" applyBorder="1" applyAlignment="1">
      <alignment/>
    </xf>
    <xf numFmtId="169" fontId="7" fillId="0" borderId="0" xfId="15" applyNumberFormat="1" applyFont="1" applyFill="1" applyBorder="1" applyAlignment="1">
      <alignment horizontal="right"/>
    </xf>
    <xf numFmtId="169" fontId="7" fillId="0" borderId="0" xfId="22" applyNumberFormat="1" applyFont="1" applyFill="1" applyBorder="1" applyAlignment="1">
      <alignment/>
    </xf>
    <xf numFmtId="167" fontId="7" fillId="0" borderId="2" xfId="15" applyNumberFormat="1" applyFont="1" applyFill="1" applyBorder="1" applyAlignment="1">
      <alignment horizontal="justify"/>
    </xf>
    <xf numFmtId="167" fontId="10" fillId="0" borderId="2" xfId="15" applyNumberFormat="1" applyFont="1" applyFill="1" applyBorder="1" applyAlignment="1">
      <alignment/>
    </xf>
    <xf numFmtId="0" fontId="7" fillId="0" borderId="0" xfId="0" applyFont="1" applyFill="1" applyBorder="1" applyAlignment="1">
      <alignment horizontal="left" vertical="top" indent="1"/>
    </xf>
    <xf numFmtId="167" fontId="10" fillId="0" borderId="2" xfId="15" applyNumberFormat="1" applyFont="1" applyFill="1" applyBorder="1" applyAlignment="1">
      <alignment horizontal="justify"/>
    </xf>
    <xf numFmtId="167" fontId="7" fillId="0" borderId="4" xfId="15" applyNumberFormat="1" applyFont="1" applyFill="1" applyBorder="1" applyAlignment="1">
      <alignment/>
    </xf>
    <xf numFmtId="167" fontId="7" fillId="2" borderId="4" xfId="15" applyNumberFormat="1" applyFont="1" applyFill="1" applyBorder="1" applyAlignment="1">
      <alignment horizontal="justify"/>
    </xf>
    <xf numFmtId="166" fontId="7" fillId="0" borderId="0" xfId="15" applyNumberFormat="1" applyFont="1" applyFill="1" applyAlignment="1">
      <alignment/>
    </xf>
    <xf numFmtId="164" fontId="7" fillId="0" borderId="2" xfId="22" applyNumberFormat="1" applyFont="1" applyFill="1" applyBorder="1" applyAlignment="1">
      <alignment/>
    </xf>
    <xf numFmtId="170" fontId="7" fillId="0" borderId="0" xfId="0" applyNumberFormat="1" applyFont="1" applyFill="1" applyBorder="1" applyAlignment="1">
      <alignment/>
    </xf>
    <xf numFmtId="167" fontId="10" fillId="0" borderId="9" xfId="15" applyNumberFormat="1" applyFont="1" applyFill="1" applyBorder="1" applyAlignment="1">
      <alignment/>
    </xf>
    <xf numFmtId="0" fontId="7" fillId="2" borderId="0" xfId="0" applyFont="1" applyFill="1" applyBorder="1" applyAlignment="1">
      <alignment horizontal="center"/>
    </xf>
    <xf numFmtId="167" fontId="7" fillId="2" borderId="0" xfId="15" applyNumberFormat="1" applyFont="1" applyFill="1" applyBorder="1" applyAlignment="1">
      <alignment horizontal="right"/>
    </xf>
    <xf numFmtId="167" fontId="10" fillId="2" borderId="0" xfId="0" applyNumberFormat="1" applyFont="1" applyFill="1" applyBorder="1" applyAlignment="1">
      <alignment horizontal="center"/>
    </xf>
    <xf numFmtId="167" fontId="10" fillId="2" borderId="9" xfId="15" applyNumberFormat="1" applyFont="1" applyFill="1" applyBorder="1" applyAlignment="1">
      <alignment/>
    </xf>
    <xf numFmtId="167" fontId="10" fillId="2" borderId="10" xfId="15" applyNumberFormat="1" applyFont="1" applyFill="1" applyBorder="1" applyAlignment="1">
      <alignment/>
    </xf>
    <xf numFmtId="167" fontId="10" fillId="0" borderId="10" xfId="15" applyNumberFormat="1" applyFont="1" applyFill="1" applyBorder="1" applyAlignment="1">
      <alignment/>
    </xf>
    <xf numFmtId="167" fontId="10" fillId="2" borderId="2" xfId="22" applyNumberFormat="1" applyFont="1" applyFill="1" applyBorder="1" applyAlignment="1">
      <alignment horizontal="justify"/>
    </xf>
    <xf numFmtId="167" fontId="10" fillId="2" borderId="9" xfId="15" applyNumberFormat="1" applyFont="1" applyFill="1" applyBorder="1" applyAlignment="1">
      <alignment horizontal="justify"/>
    </xf>
    <xf numFmtId="169" fontId="10" fillId="0" borderId="0" xfId="22" applyNumberFormat="1" applyFont="1" applyFill="1" applyBorder="1" applyAlignment="1">
      <alignment/>
    </xf>
    <xf numFmtId="167" fontId="7" fillId="2" borderId="1" xfId="0" applyNumberFormat="1" applyFont="1" applyFill="1" applyBorder="1" applyAlignment="1">
      <alignment/>
    </xf>
    <xf numFmtId="167" fontId="7" fillId="2" borderId="2" xfId="0" applyNumberFormat="1" applyFont="1" applyFill="1" applyBorder="1" applyAlignment="1">
      <alignment/>
    </xf>
    <xf numFmtId="167" fontId="7" fillId="2" borderId="3" xfId="0" applyNumberFormat="1" applyFont="1" applyFill="1" applyBorder="1" applyAlignment="1">
      <alignment/>
    </xf>
    <xf numFmtId="167" fontId="10" fillId="0" borderId="1" xfId="0" applyNumberFormat="1" applyFont="1" applyFill="1" applyBorder="1" applyAlignment="1">
      <alignment/>
    </xf>
    <xf numFmtId="167" fontId="10" fillId="0" borderId="0" xfId="0" applyNumberFormat="1" applyFont="1" applyFill="1" applyBorder="1" applyAlignment="1">
      <alignment horizontal="right"/>
    </xf>
    <xf numFmtId="0" fontId="7" fillId="0" borderId="0" xfId="0" applyFont="1" applyBorder="1" applyAlignment="1">
      <alignment horizontal="center" wrapText="1"/>
    </xf>
    <xf numFmtId="0" fontId="7" fillId="0" borderId="0" xfId="0" applyFont="1" applyBorder="1" applyAlignment="1">
      <alignment horizontal="center" vertical="top" wrapText="1"/>
    </xf>
    <xf numFmtId="0" fontId="10" fillId="0" borderId="0" xfId="0" applyFont="1" applyBorder="1" applyAlignment="1">
      <alignment horizontal="right" vertical="top" wrapText="1"/>
    </xf>
    <xf numFmtId="0" fontId="10" fillId="0" borderId="0" xfId="0" applyFont="1" applyBorder="1" applyAlignment="1">
      <alignment horizontal="justify" vertical="top" wrapText="1"/>
    </xf>
    <xf numFmtId="167" fontId="10" fillId="0" borderId="0" xfId="0" applyNumberFormat="1" applyFont="1" applyBorder="1" applyAlignment="1">
      <alignment horizontal="justify" vertical="top" wrapText="1"/>
    </xf>
    <xf numFmtId="0" fontId="10" fillId="0" borderId="0" xfId="0" applyFont="1" applyAlignment="1">
      <alignment/>
    </xf>
    <xf numFmtId="0" fontId="27" fillId="0" borderId="0" xfId="0" applyFont="1" applyFill="1" applyAlignment="1">
      <alignment/>
    </xf>
    <xf numFmtId="171" fontId="7" fillId="0" borderId="0" xfId="0" applyNumberFormat="1" applyFont="1" applyFill="1" applyAlignment="1">
      <alignment/>
    </xf>
    <xf numFmtId="164" fontId="10" fillId="3" borderId="0" xfId="22" applyNumberFormat="1" applyFont="1" applyFill="1" applyAlignment="1">
      <alignment/>
    </xf>
    <xf numFmtId="164" fontId="10" fillId="0" borderId="0" xfId="22" applyNumberFormat="1" applyFont="1" applyFill="1" applyBorder="1" applyAlignment="1">
      <alignment horizontal="right"/>
    </xf>
    <xf numFmtId="167" fontId="10" fillId="0" borderId="0" xfId="22" applyNumberFormat="1" applyFont="1" applyFill="1" applyBorder="1" applyAlignment="1">
      <alignment/>
    </xf>
    <xf numFmtId="169" fontId="10" fillId="0" borderId="0" xfId="22" applyNumberFormat="1" applyFont="1" applyFill="1" applyBorder="1" applyAlignment="1">
      <alignment horizontal="justify"/>
    </xf>
    <xf numFmtId="164" fontId="10" fillId="0" borderId="0" xfId="22" applyNumberFormat="1" applyFont="1" applyFill="1" applyAlignment="1">
      <alignment/>
    </xf>
    <xf numFmtId="192" fontId="7" fillId="0" borderId="0" xfId="0" applyNumberFormat="1" applyFont="1" applyFill="1" applyAlignment="1">
      <alignment/>
    </xf>
    <xf numFmtId="43" fontId="7" fillId="0" borderId="0" xfId="15" applyFont="1" applyFill="1" applyAlignment="1">
      <alignment/>
    </xf>
    <xf numFmtId="43" fontId="7" fillId="0" borderId="2" xfId="15" applyFont="1" applyFill="1" applyBorder="1" applyAlignment="1">
      <alignment/>
    </xf>
    <xf numFmtId="43" fontId="10" fillId="0" borderId="0" xfId="15" applyFont="1" applyFill="1" applyBorder="1" applyAlignment="1">
      <alignment/>
    </xf>
    <xf numFmtId="0" fontId="10" fillId="2" borderId="0" xfId="0" applyFont="1" applyFill="1" applyBorder="1" applyAlignment="1">
      <alignment horizontal="justify" vertical="top" wrapText="1"/>
    </xf>
    <xf numFmtId="167" fontId="10" fillId="2" borderId="2" xfId="0" applyNumberFormat="1" applyFont="1" applyFill="1" applyBorder="1" applyAlignment="1">
      <alignment horizontal="justify"/>
    </xf>
    <xf numFmtId="167" fontId="10" fillId="2" borderId="0" xfId="0" applyNumberFormat="1" applyFont="1" applyFill="1" applyBorder="1" applyAlignment="1">
      <alignment horizontal="justify" vertical="top" wrapText="1"/>
    </xf>
    <xf numFmtId="165" fontId="10" fillId="2" borderId="0" xfId="15" applyNumberFormat="1" applyFont="1" applyFill="1" applyBorder="1" applyAlignment="1">
      <alignment/>
    </xf>
    <xf numFmtId="169" fontId="10" fillId="2" borderId="0" xfId="15" applyNumberFormat="1" applyFont="1" applyFill="1" applyBorder="1" applyAlignment="1">
      <alignment/>
    </xf>
    <xf numFmtId="169" fontId="10" fillId="2" borderId="0" xfId="15" applyNumberFormat="1" applyFont="1" applyFill="1" applyBorder="1" applyAlignment="1">
      <alignment horizontal="justify"/>
    </xf>
    <xf numFmtId="167" fontId="10" fillId="2" borderId="0" xfId="15" applyNumberFormat="1" applyFont="1" applyFill="1" applyBorder="1" applyAlignment="1">
      <alignment horizontal="right"/>
    </xf>
    <xf numFmtId="167" fontId="24" fillId="0" borderId="0" xfId="0" applyNumberFormat="1" applyFont="1" applyFill="1" applyBorder="1" applyAlignment="1">
      <alignment/>
    </xf>
    <xf numFmtId="167" fontId="10" fillId="2" borderId="11" xfId="0" applyNumberFormat="1" applyFont="1" applyFill="1" applyBorder="1" applyAlignment="1">
      <alignment/>
    </xf>
    <xf numFmtId="0" fontId="10" fillId="2" borderId="0" xfId="0" applyFont="1" applyFill="1" applyBorder="1" applyAlignment="1">
      <alignment horizontal="right" vertical="top" wrapText="1"/>
    </xf>
    <xf numFmtId="167" fontId="10" fillId="2" borderId="0" xfId="0" applyNumberFormat="1" applyFont="1" applyFill="1" applyBorder="1" applyAlignment="1">
      <alignment horizontal="right" vertical="top" wrapText="1"/>
    </xf>
    <xf numFmtId="0" fontId="10" fillId="2" borderId="0" xfId="0" applyFont="1" applyFill="1" applyAlignment="1">
      <alignment horizontal="right"/>
    </xf>
    <xf numFmtId="164" fontId="7" fillId="2" borderId="2" xfId="22" applyNumberFormat="1" applyFont="1" applyFill="1" applyBorder="1" applyAlignment="1">
      <alignment/>
    </xf>
    <xf numFmtId="164" fontId="10" fillId="2" borderId="5" xfId="22" applyNumberFormat="1" applyFont="1" applyFill="1" applyBorder="1" applyAlignment="1">
      <alignment/>
    </xf>
    <xf numFmtId="171" fontId="7" fillId="2" borderId="0" xfId="0" applyNumberFormat="1" applyFont="1" applyFill="1" applyAlignment="1">
      <alignment/>
    </xf>
    <xf numFmtId="164" fontId="10" fillId="2" borderId="3" xfId="22" applyNumberFormat="1" applyFont="1" applyFill="1" applyBorder="1" applyAlignment="1">
      <alignment/>
    </xf>
    <xf numFmtId="0" fontId="7" fillId="2" borderId="0" xfId="0" applyFont="1" applyFill="1" applyAlignment="1">
      <alignment/>
    </xf>
    <xf numFmtId="171" fontId="7" fillId="2" borderId="0" xfId="0" applyNumberFormat="1" applyFont="1" applyFill="1" applyBorder="1" applyAlignment="1">
      <alignment/>
    </xf>
    <xf numFmtId="171" fontId="7" fillId="2" borderId="2" xfId="0" applyNumberFormat="1" applyFont="1" applyFill="1" applyBorder="1" applyAlignment="1">
      <alignment/>
    </xf>
    <xf numFmtId="43" fontId="7" fillId="2" borderId="2" xfId="15" applyFont="1" applyFill="1" applyBorder="1" applyAlignment="1">
      <alignment/>
    </xf>
    <xf numFmtId="171" fontId="10" fillId="2" borderId="5" xfId="0" applyNumberFormat="1" applyFont="1" applyFill="1" applyBorder="1" applyAlignment="1">
      <alignment/>
    </xf>
    <xf numFmtId="43" fontId="10" fillId="2" borderId="0" xfId="15" applyFont="1" applyFill="1" applyBorder="1" applyAlignment="1">
      <alignment/>
    </xf>
    <xf numFmtId="43" fontId="7" fillId="2" borderId="0" xfId="15" applyFont="1" applyFill="1" applyAlignment="1">
      <alignment/>
    </xf>
    <xf numFmtId="171" fontId="10" fillId="2" borderId="3" xfId="0" applyNumberFormat="1" applyFont="1" applyFill="1" applyBorder="1" applyAlignment="1">
      <alignment/>
    </xf>
    <xf numFmtId="171" fontId="7" fillId="2" borderId="5" xfId="0" applyNumberFormat="1" applyFont="1" applyFill="1" applyBorder="1" applyAlignment="1">
      <alignment/>
    </xf>
    <xf numFmtId="170" fontId="10" fillId="2" borderId="0" xfId="0" applyNumberFormat="1" applyFont="1" applyFill="1" applyBorder="1" applyAlignment="1">
      <alignment/>
    </xf>
    <xf numFmtId="170" fontId="7" fillId="2" borderId="0" xfId="0" applyNumberFormat="1" applyFont="1" applyFill="1" applyAlignment="1">
      <alignment/>
    </xf>
    <xf numFmtId="166" fontId="10" fillId="0" borderId="3" xfId="15" applyNumberFormat="1" applyFont="1" applyFill="1" applyBorder="1" applyAlignment="1">
      <alignment/>
    </xf>
    <xf numFmtId="164" fontId="10" fillId="2" borderId="0" xfId="22" applyNumberFormat="1" applyFont="1" applyFill="1" applyBorder="1" applyAlignment="1">
      <alignment horizontal="right"/>
    </xf>
    <xf numFmtId="0" fontId="28" fillId="0" borderId="0" xfId="0" applyFont="1" applyFill="1" applyBorder="1" applyAlignment="1">
      <alignment/>
    </xf>
    <xf numFmtId="0" fontId="28" fillId="0" borderId="0" xfId="0" applyFont="1" applyBorder="1" applyAlignment="1">
      <alignment/>
    </xf>
    <xf numFmtId="167" fontId="10" fillId="0" borderId="11" xfId="0" applyNumberFormat="1" applyFont="1" applyFill="1" applyBorder="1" applyAlignment="1">
      <alignment/>
    </xf>
    <xf numFmtId="0" fontId="7" fillId="2" borderId="0" xfId="0" applyFont="1" applyFill="1" applyAlignment="1">
      <alignment horizontal="left" vertical="top" wrapText="1"/>
    </xf>
    <xf numFmtId="169" fontId="7" fillId="2" borderId="0" xfId="15" applyNumberFormat="1" applyFont="1" applyFill="1" applyBorder="1" applyAlignment="1">
      <alignment/>
    </xf>
    <xf numFmtId="169" fontId="7" fillId="2" borderId="0" xfId="15" applyNumberFormat="1" applyFont="1" applyFill="1" applyBorder="1" applyAlignment="1">
      <alignment horizontal="justify"/>
    </xf>
    <xf numFmtId="197" fontId="10" fillId="0" borderId="2" xfId="15" applyNumberFormat="1" applyFont="1" applyFill="1" applyBorder="1" applyAlignment="1">
      <alignment/>
    </xf>
    <xf numFmtId="169" fontId="10" fillId="0" borderId="0" xfId="15" applyNumberFormat="1" applyFont="1" applyFill="1" applyBorder="1" applyAlignment="1">
      <alignment/>
    </xf>
    <xf numFmtId="165" fontId="10" fillId="0" borderId="0" xfId="15" applyNumberFormat="1" applyFont="1" applyFill="1" applyBorder="1" applyAlignment="1">
      <alignment/>
    </xf>
    <xf numFmtId="167" fontId="7" fillId="0" borderId="5" xfId="15" applyNumberFormat="1" applyFont="1" applyFill="1" applyBorder="1" applyAlignment="1">
      <alignment/>
    </xf>
    <xf numFmtId="167" fontId="10" fillId="0" borderId="5" xfId="15" applyNumberFormat="1" applyFont="1" applyFill="1" applyBorder="1" applyAlignment="1">
      <alignment/>
    </xf>
    <xf numFmtId="0" fontId="25" fillId="0" borderId="0" xfId="20" applyFont="1" applyAlignment="1">
      <alignment/>
    </xf>
    <xf numFmtId="169" fontId="10" fillId="2" borderId="0" xfId="22" applyNumberFormat="1" applyFont="1" applyFill="1" applyBorder="1" applyAlignment="1">
      <alignment horizontal="justify"/>
    </xf>
    <xf numFmtId="0" fontId="29" fillId="0" borderId="0" xfId="0" applyFont="1" applyFill="1" applyBorder="1" applyAlignment="1">
      <alignment/>
    </xf>
    <xf numFmtId="0" fontId="4" fillId="0" borderId="0" xfId="0" applyFont="1" applyFill="1" applyBorder="1" applyAlignment="1">
      <alignment horizontal="left" vertical="top" wrapText="1"/>
    </xf>
    <xf numFmtId="167" fontId="29" fillId="0" borderId="0" xfId="0" applyNumberFormat="1" applyFont="1" applyFill="1" applyBorder="1" applyAlignment="1">
      <alignment horizontal="right" vertical="top" wrapText="1"/>
    </xf>
    <xf numFmtId="167" fontId="4" fillId="0" borderId="0" xfId="0" applyNumberFormat="1" applyFont="1" applyFill="1" applyBorder="1" applyAlignment="1">
      <alignment horizontal="right" vertical="top" wrapText="1"/>
    </xf>
    <xf numFmtId="167" fontId="29" fillId="0" borderId="0" xfId="0" applyNumberFormat="1" applyFont="1" applyFill="1" applyBorder="1" applyAlignment="1">
      <alignment horizontal="justify" vertical="top" wrapText="1"/>
    </xf>
    <xf numFmtId="167" fontId="4" fillId="0" borderId="0" xfId="0" applyNumberFormat="1" applyFont="1" applyFill="1" applyBorder="1" applyAlignment="1">
      <alignment/>
    </xf>
    <xf numFmtId="167" fontId="29" fillId="0" borderId="0" xfId="0" applyNumberFormat="1" applyFont="1" applyFill="1" applyBorder="1" applyAlignment="1">
      <alignment horizontal="center" vertical="top" wrapText="1"/>
    </xf>
    <xf numFmtId="49" fontId="29" fillId="0" borderId="0" xfId="0" applyNumberFormat="1" applyFont="1" applyFill="1" applyBorder="1" applyAlignment="1">
      <alignment/>
    </xf>
    <xf numFmtId="0" fontId="29" fillId="0" borderId="0" xfId="0" applyFont="1" applyFill="1" applyBorder="1" applyAlignment="1">
      <alignment horizontal="right"/>
    </xf>
    <xf numFmtId="0" fontId="4" fillId="0" borderId="0" xfId="0" applyFont="1" applyFill="1" applyBorder="1" applyAlignment="1">
      <alignment/>
    </xf>
    <xf numFmtId="0" fontId="4" fillId="0" borderId="0" xfId="0" applyFont="1" applyFill="1" applyBorder="1" applyAlignment="1">
      <alignment horizontal="right"/>
    </xf>
    <xf numFmtId="0" fontId="29" fillId="0" borderId="0" xfId="0" applyFont="1" applyFill="1" applyBorder="1" applyAlignment="1">
      <alignment horizontal="center"/>
    </xf>
    <xf numFmtId="171" fontId="7" fillId="0" borderId="3" xfId="0" applyNumberFormat="1" applyFont="1" applyFill="1" applyBorder="1" applyAlignment="1">
      <alignment/>
    </xf>
    <xf numFmtId="171" fontId="10" fillId="0" borderId="0" xfId="0" applyNumberFormat="1" applyFont="1" applyFill="1" applyAlignment="1">
      <alignment/>
    </xf>
    <xf numFmtId="171" fontId="10" fillId="0" borderId="2" xfId="0" applyNumberFormat="1" applyFont="1" applyFill="1" applyBorder="1" applyAlignment="1">
      <alignment/>
    </xf>
    <xf numFmtId="192" fontId="10" fillId="0" borderId="0" xfId="0" applyNumberFormat="1" applyFont="1" applyFill="1" applyAlignment="1">
      <alignment/>
    </xf>
    <xf numFmtId="170" fontId="10" fillId="0" borderId="0" xfId="0" applyNumberFormat="1" applyFont="1" applyFill="1" applyBorder="1" applyAlignment="1">
      <alignment/>
    </xf>
    <xf numFmtId="164" fontId="7" fillId="0" borderId="5" xfId="22" applyNumberFormat="1" applyFont="1" applyFill="1" applyBorder="1" applyAlignment="1">
      <alignment/>
    </xf>
    <xf numFmtId="164" fontId="7" fillId="2" borderId="5" xfId="22" applyNumberFormat="1" applyFont="1" applyFill="1" applyBorder="1" applyAlignment="1">
      <alignment/>
    </xf>
    <xf numFmtId="164" fontId="7" fillId="0" borderId="3" xfId="22" applyNumberFormat="1" applyFont="1" applyFill="1" applyBorder="1" applyAlignment="1">
      <alignment/>
    </xf>
    <xf numFmtId="164" fontId="7" fillId="2" borderId="3" xfId="22" applyNumberFormat="1" applyFont="1" applyFill="1" applyBorder="1" applyAlignment="1">
      <alignment/>
    </xf>
    <xf numFmtId="164" fontId="10" fillId="0" borderId="2" xfId="22" applyNumberFormat="1" applyFont="1" applyFill="1" applyBorder="1" applyAlignment="1">
      <alignment/>
    </xf>
    <xf numFmtId="164" fontId="10" fillId="2" borderId="0" xfId="22" applyNumberFormat="1" applyFont="1" applyFill="1" applyAlignment="1">
      <alignment/>
    </xf>
    <xf numFmtId="171" fontId="7" fillId="2" borderId="3" xfId="0" applyNumberFormat="1" applyFont="1" applyFill="1" applyBorder="1" applyAlignment="1">
      <alignment/>
    </xf>
    <xf numFmtId="166" fontId="7" fillId="0" borderId="5" xfId="15" applyNumberFormat="1" applyFont="1" applyFill="1" applyBorder="1" applyAlignment="1">
      <alignment/>
    </xf>
    <xf numFmtId="171" fontId="10" fillId="2" borderId="0" xfId="0" applyNumberFormat="1" applyFont="1" applyFill="1" applyAlignment="1">
      <alignment/>
    </xf>
    <xf numFmtId="171" fontId="10" fillId="2" borderId="0" xfId="0" applyNumberFormat="1" applyFont="1" applyFill="1" applyBorder="1" applyAlignment="1">
      <alignment/>
    </xf>
    <xf numFmtId="171" fontId="10" fillId="2" borderId="2" xfId="0" applyNumberFormat="1" applyFont="1" applyFill="1" applyBorder="1" applyAlignment="1">
      <alignment/>
    </xf>
    <xf numFmtId="164" fontId="10" fillId="0" borderId="0" xfId="22" applyNumberFormat="1" applyFont="1" applyFill="1" applyAlignment="1">
      <alignment horizontal="right"/>
    </xf>
    <xf numFmtId="166" fontId="7" fillId="0" borderId="3" xfId="15" applyNumberFormat="1" applyFont="1" applyFill="1" applyBorder="1" applyAlignment="1">
      <alignment/>
    </xf>
    <xf numFmtId="166" fontId="10" fillId="0" borderId="0" xfId="15" applyNumberFormat="1" applyFont="1" applyFill="1" applyAlignment="1">
      <alignment/>
    </xf>
    <xf numFmtId="0" fontId="0" fillId="0" borderId="0" xfId="0" applyFont="1" applyBorder="1" applyAlignment="1">
      <alignment horizontal="left" vertical="center" wrapText="1"/>
    </xf>
    <xf numFmtId="0" fontId="7" fillId="0" borderId="2" xfId="0" applyFont="1" applyFill="1" applyBorder="1" applyAlignment="1">
      <alignment horizontal="center"/>
    </xf>
    <xf numFmtId="0" fontId="7" fillId="0" borderId="0" xfId="0" applyFont="1" applyAlignment="1">
      <alignment horizontal="left" wrapText="1"/>
    </xf>
    <xf numFmtId="167" fontId="7" fillId="2" borderId="0" xfId="0" applyNumberFormat="1" applyFont="1" applyFill="1" applyBorder="1" applyAlignment="1">
      <alignment horizontal="center"/>
    </xf>
    <xf numFmtId="164" fontId="7" fillId="2" borderId="2" xfId="22" applyNumberFormat="1" applyFont="1" applyFill="1" applyBorder="1" applyAlignment="1">
      <alignment horizontal="center"/>
    </xf>
    <xf numFmtId="0" fontId="7" fillId="0" borderId="0" xfId="0" applyFont="1" applyFill="1" applyBorder="1" applyAlignment="1">
      <alignment horizontal="left" vertical="top" wrapText="1"/>
    </xf>
    <xf numFmtId="0" fontId="7" fillId="0" borderId="0" xfId="0" applyFont="1" applyFill="1" applyBorder="1" applyAlignment="1">
      <alignment horizontal="left"/>
    </xf>
    <xf numFmtId="0" fontId="7" fillId="0" borderId="2" xfId="0" applyFont="1" applyFill="1" applyBorder="1" applyAlignment="1">
      <alignment horizontal="center" vertical="top" wrapText="1"/>
    </xf>
    <xf numFmtId="0" fontId="29" fillId="0" borderId="0" xfId="0" applyFont="1" applyFill="1" applyBorder="1" applyAlignment="1">
      <alignment horizontal="left"/>
    </xf>
    <xf numFmtId="0" fontId="29" fillId="0" borderId="0" xfId="0" applyFont="1" applyFill="1" applyBorder="1" applyAlignment="1">
      <alignment horizontal="left" vertical="top"/>
    </xf>
    <xf numFmtId="0" fontId="29" fillId="0" borderId="0" xfId="0" applyFont="1" applyFill="1" applyBorder="1" applyAlignment="1">
      <alignment horizontal="left" wrapText="1"/>
    </xf>
    <xf numFmtId="0" fontId="7" fillId="0" borderId="2" xfId="0" applyFont="1" applyBorder="1" applyAlignment="1">
      <alignment horizontal="center" vertical="top" wrapText="1"/>
    </xf>
    <xf numFmtId="0" fontId="7" fillId="0" borderId="2" xfId="0" applyFont="1" applyBorder="1" applyAlignment="1">
      <alignment horizontal="center" wrapText="1"/>
    </xf>
    <xf numFmtId="0" fontId="10" fillId="0" borderId="2" xfId="0" applyFont="1" applyFill="1" applyBorder="1" applyAlignment="1">
      <alignment horizontal="center"/>
    </xf>
    <xf numFmtId="0" fontId="7" fillId="0" borderId="0" xfId="0" applyFont="1" applyFill="1" applyAlignment="1">
      <alignment horizontal="left" wrapText="1"/>
    </xf>
    <xf numFmtId="0" fontId="10" fillId="0" borderId="2" xfId="0" applyFont="1" applyFill="1" applyBorder="1" applyAlignment="1">
      <alignment horizontal="center" vertical="center"/>
    </xf>
    <xf numFmtId="0" fontId="7" fillId="0" borderId="0" xfId="0" applyFont="1" applyFill="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KPIs - December 2007 -  Qtr 3 web version - FINAL"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xdr:row>
      <xdr:rowOff>0</xdr:rowOff>
    </xdr:from>
    <xdr:to>
      <xdr:col>14</xdr:col>
      <xdr:colOff>561975</xdr:colOff>
      <xdr:row>5</xdr:row>
      <xdr:rowOff>228600</xdr:rowOff>
    </xdr:to>
    <xdr:pic>
      <xdr:nvPicPr>
        <xdr:cNvPr id="1" name="Picture 1"/>
        <xdr:cNvPicPr preferRelativeResize="1">
          <a:picLocks noChangeAspect="1"/>
        </xdr:cNvPicPr>
      </xdr:nvPicPr>
      <xdr:blipFill>
        <a:blip r:embed="rId1"/>
        <a:stretch>
          <a:fillRect/>
        </a:stretch>
      </xdr:blipFill>
      <xdr:spPr>
        <a:xfrm>
          <a:off x="7877175" y="323850"/>
          <a:ext cx="1152525" cy="838200"/>
        </a:xfrm>
        <a:prstGeom prst="rect">
          <a:avLst/>
        </a:prstGeom>
        <a:noFill/>
        <a:ln w="9525" cmpd="sng">
          <a:noFill/>
        </a:ln>
      </xdr:spPr>
    </xdr:pic>
    <xdr:clientData/>
  </xdr:twoCellAnchor>
  <xdr:twoCellAnchor>
    <xdr:from>
      <xdr:col>1</xdr:col>
      <xdr:colOff>9525</xdr:colOff>
      <xdr:row>22</xdr:row>
      <xdr:rowOff>0</xdr:rowOff>
    </xdr:from>
    <xdr:to>
      <xdr:col>14</xdr:col>
      <xdr:colOff>581025</xdr:colOff>
      <xdr:row>34</xdr:row>
      <xdr:rowOff>219075</xdr:rowOff>
    </xdr:to>
    <xdr:sp>
      <xdr:nvSpPr>
        <xdr:cNvPr id="2" name="TextBox 17"/>
        <xdr:cNvSpPr txBox="1">
          <a:spLocks noChangeArrowheads="1"/>
        </xdr:cNvSpPr>
      </xdr:nvSpPr>
      <xdr:spPr>
        <a:xfrm>
          <a:off x="257175" y="4943475"/>
          <a:ext cx="8791575"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For further information please refer to the relevant press releases for the interim management statements, half-year and full year financial results for the financial years ended 31 March 2008 and 31 March 2009 and the interim management statement for the quarter ended 30 June 2009.  All the press releases can be found on the Investor Relations section of the Vodafone website at http://www.vodafone.com/investor.
This document also contains certain non-GAAP financial information.  The Vodafone Group’s management believes these measures provide valuable additional information in understanding the performance of the Vodafone Group or the Vodafone Group’s businesses because they provide measures used by the Vodafone Group to assess performance.  Although these measures are important in the management of the business they should not be viewed as replacements for, but rather as complementary to, the comparable GAAP measures.
Vodafone, the Vodafone logos and Vodacom, are trade marks of the Vodafone Group.  Other product and company names mentioned herein may be the trademarks of their respective owners.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P37"/>
  <sheetViews>
    <sheetView showGridLines="0" tabSelected="1" view="pageBreakPreview" zoomScaleSheetLayoutView="100" workbookViewId="0" topLeftCell="A1">
      <selection activeCell="A1" sqref="A1"/>
    </sheetView>
  </sheetViews>
  <sheetFormatPr defaultColWidth="9.140625" defaultRowHeight="12.75"/>
  <cols>
    <col min="1" max="1" width="3.7109375" style="2" customWidth="1"/>
    <col min="2" max="2" width="9.140625" style="1" customWidth="1"/>
    <col min="3" max="3" width="50.7109375" style="1" customWidth="1"/>
    <col min="4" max="8" width="1.7109375" style="1" customWidth="1"/>
    <col min="9" max="15" width="9.140625" style="1" customWidth="1"/>
    <col min="16" max="16" width="3.28125" style="1" customWidth="1"/>
    <col min="17" max="17" width="9.140625" style="2" customWidth="1"/>
    <col min="18" max="16384" width="9.140625" style="1" customWidth="1"/>
  </cols>
  <sheetData>
    <row r="1" spans="2:16" ht="12.75">
      <c r="B1" s="2"/>
      <c r="C1" s="2"/>
      <c r="D1" s="2"/>
      <c r="E1" s="2"/>
      <c r="F1" s="2"/>
      <c r="G1" s="2"/>
      <c r="H1" s="2"/>
      <c r="I1" s="2"/>
      <c r="J1" s="2"/>
      <c r="K1" s="2"/>
      <c r="L1" s="2"/>
      <c r="M1" s="2"/>
      <c r="N1" s="2"/>
      <c r="O1" s="2"/>
      <c r="P1" s="2"/>
    </row>
    <row r="2" spans="2:16" ht="12.75">
      <c r="B2" s="2"/>
      <c r="C2" s="2"/>
      <c r="D2" s="2"/>
      <c r="E2" s="2"/>
      <c r="F2" s="2"/>
      <c r="G2" s="2"/>
      <c r="H2" s="2"/>
      <c r="I2" s="2"/>
      <c r="J2" s="2"/>
      <c r="K2" s="2"/>
      <c r="L2" s="2"/>
      <c r="M2" s="2"/>
      <c r="N2" s="2"/>
      <c r="O2" s="2"/>
      <c r="P2" s="2"/>
    </row>
    <row r="3" spans="2:16" ht="22.5">
      <c r="B3" s="8" t="s">
        <v>152</v>
      </c>
      <c r="C3" s="2"/>
      <c r="D3" s="2"/>
      <c r="E3" s="2"/>
      <c r="F3" s="2"/>
      <c r="G3" s="2"/>
      <c r="H3" s="2"/>
      <c r="I3" s="2"/>
      <c r="J3" s="2"/>
      <c r="K3" s="2"/>
      <c r="L3" s="2"/>
      <c r="M3" s="2"/>
      <c r="N3" s="2"/>
      <c r="O3" s="2"/>
      <c r="P3" s="2"/>
    </row>
    <row r="4" spans="2:16" ht="12.75">
      <c r="B4" s="2"/>
      <c r="C4" s="2"/>
      <c r="D4" s="2"/>
      <c r="E4" s="2"/>
      <c r="F4" s="2"/>
      <c r="G4" s="2"/>
      <c r="H4" s="2"/>
      <c r="I4" s="2"/>
      <c r="J4" s="2"/>
      <c r="K4" s="2"/>
      <c r="L4" s="2"/>
      <c r="M4" s="2"/>
      <c r="N4" s="2"/>
      <c r="O4" s="2"/>
      <c r="P4" s="2"/>
    </row>
    <row r="5" spans="2:16" ht="12.75">
      <c r="B5" s="2"/>
      <c r="C5" s="2"/>
      <c r="D5" s="2"/>
      <c r="E5" s="2"/>
      <c r="F5" s="2"/>
      <c r="G5" s="2"/>
      <c r="H5" s="2"/>
      <c r="I5" s="2"/>
      <c r="J5" s="2"/>
      <c r="K5" s="2"/>
      <c r="L5" s="2"/>
      <c r="M5" s="2"/>
      <c r="N5" s="2"/>
      <c r="O5" s="2"/>
      <c r="P5" s="2"/>
    </row>
    <row r="6" spans="2:16" ht="20.25">
      <c r="B6" s="2"/>
      <c r="C6" s="2"/>
      <c r="D6" s="2"/>
      <c r="E6" s="2"/>
      <c r="F6" s="2"/>
      <c r="G6" s="2"/>
      <c r="H6" s="2"/>
      <c r="I6" s="3"/>
      <c r="J6" s="2"/>
      <c r="K6" s="2"/>
      <c r="L6" s="2"/>
      <c r="M6" s="2"/>
      <c r="N6" s="2"/>
      <c r="O6" s="2"/>
      <c r="P6" s="2"/>
    </row>
    <row r="7" spans="2:16" ht="12.75">
      <c r="B7" s="2"/>
      <c r="C7" s="94"/>
      <c r="D7" s="2"/>
      <c r="E7" s="2"/>
      <c r="F7" s="2"/>
      <c r="G7" s="2"/>
      <c r="H7" s="2"/>
      <c r="I7" s="2"/>
      <c r="J7" s="2"/>
      <c r="K7" s="2"/>
      <c r="L7" s="2"/>
      <c r="M7" s="2"/>
      <c r="N7" s="2"/>
      <c r="O7" s="2"/>
      <c r="P7" s="2"/>
    </row>
    <row r="8" spans="2:16" ht="20.25">
      <c r="B8" s="2"/>
      <c r="C8" s="141" t="s">
        <v>8</v>
      </c>
      <c r="D8" s="2"/>
      <c r="E8" s="2"/>
      <c r="F8" s="2"/>
      <c r="G8" s="2"/>
      <c r="H8" s="2"/>
      <c r="I8" s="3"/>
      <c r="J8" s="2"/>
      <c r="K8" s="2"/>
      <c r="L8" s="2"/>
      <c r="M8" s="2"/>
      <c r="N8" s="2"/>
      <c r="O8" s="2"/>
      <c r="P8" s="2"/>
    </row>
    <row r="9" spans="2:16" ht="20.25">
      <c r="B9" s="2"/>
      <c r="C9" s="141" t="s">
        <v>9</v>
      </c>
      <c r="D9" s="2"/>
      <c r="E9" s="2"/>
      <c r="F9" s="2"/>
      <c r="G9" s="2"/>
      <c r="H9" s="2"/>
      <c r="I9" s="3"/>
      <c r="J9" s="2"/>
      <c r="K9" s="2"/>
      <c r="L9" s="2"/>
      <c r="M9" s="2"/>
      <c r="N9" s="2"/>
      <c r="O9" s="2"/>
      <c r="P9" s="2"/>
    </row>
    <row r="10" spans="2:16" ht="20.25">
      <c r="B10" s="2"/>
      <c r="C10" s="141" t="s">
        <v>224</v>
      </c>
      <c r="D10" s="2"/>
      <c r="E10" s="2"/>
      <c r="F10" s="2"/>
      <c r="G10" s="2"/>
      <c r="H10" s="2"/>
      <c r="I10" s="3"/>
      <c r="J10" s="2"/>
      <c r="K10" s="2"/>
      <c r="L10" s="2"/>
      <c r="M10" s="2"/>
      <c r="N10" s="2"/>
      <c r="O10" s="2"/>
      <c r="P10" s="2"/>
    </row>
    <row r="11" spans="2:16" ht="20.25">
      <c r="B11" s="2"/>
      <c r="C11" s="141" t="s">
        <v>10</v>
      </c>
      <c r="D11" s="2"/>
      <c r="E11" s="2"/>
      <c r="F11" s="2"/>
      <c r="G11" s="2"/>
      <c r="H11" s="2"/>
      <c r="I11" s="3"/>
      <c r="J11" s="2"/>
      <c r="K11" s="2"/>
      <c r="L11" s="2"/>
      <c r="M11" s="2"/>
      <c r="N11" s="2"/>
      <c r="O11" s="2"/>
      <c r="P11" s="2"/>
    </row>
    <row r="12" spans="2:16" ht="20.25">
      <c r="B12" s="141"/>
      <c r="C12" s="141" t="s">
        <v>208</v>
      </c>
      <c r="D12" s="2"/>
      <c r="E12" s="2"/>
      <c r="F12" s="2"/>
      <c r="G12" s="2"/>
      <c r="H12" s="2"/>
      <c r="I12" s="3"/>
      <c r="J12" s="2"/>
      <c r="K12" s="2"/>
      <c r="L12" s="2"/>
      <c r="M12" s="2"/>
      <c r="N12" s="2"/>
      <c r="O12" s="2"/>
      <c r="P12" s="2"/>
    </row>
    <row r="13" spans="2:16" ht="20.25">
      <c r="B13" s="2"/>
      <c r="C13" s="141" t="s">
        <v>11</v>
      </c>
      <c r="D13" s="2"/>
      <c r="E13" s="2"/>
      <c r="F13" s="2"/>
      <c r="G13" s="2"/>
      <c r="H13" s="2"/>
      <c r="I13" s="3"/>
      <c r="J13" s="2"/>
      <c r="K13" s="2"/>
      <c r="L13" s="2"/>
      <c r="M13" s="2"/>
      <c r="N13" s="2"/>
      <c r="O13" s="2"/>
      <c r="P13" s="2"/>
    </row>
    <row r="14" spans="2:16" ht="20.25">
      <c r="B14" s="285"/>
      <c r="C14" s="141" t="s">
        <v>6</v>
      </c>
      <c r="D14" s="2"/>
      <c r="E14" s="2"/>
      <c r="F14" s="2"/>
      <c r="G14" s="2"/>
      <c r="H14" s="2"/>
      <c r="I14" s="3"/>
      <c r="J14" s="2"/>
      <c r="K14" s="2"/>
      <c r="L14" s="2"/>
      <c r="M14" s="2"/>
      <c r="N14" s="2"/>
      <c r="O14" s="2"/>
      <c r="P14" s="2"/>
    </row>
    <row r="15" spans="2:16" ht="20.25">
      <c r="B15" s="285"/>
      <c r="C15" s="295" t="s">
        <v>269</v>
      </c>
      <c r="D15" s="2"/>
      <c r="E15" s="2"/>
      <c r="F15" s="2"/>
      <c r="G15" s="2"/>
      <c r="H15" s="2"/>
      <c r="I15" s="3"/>
      <c r="J15" s="2"/>
      <c r="K15" s="2"/>
      <c r="L15" s="2"/>
      <c r="M15" s="2"/>
      <c r="N15" s="2"/>
      <c r="O15" s="2"/>
      <c r="P15" s="2"/>
    </row>
    <row r="16" spans="2:16" ht="20.25">
      <c r="B16" s="285"/>
      <c r="C16" s="141" t="s">
        <v>7</v>
      </c>
      <c r="D16" s="2"/>
      <c r="E16" s="2"/>
      <c r="F16" s="2"/>
      <c r="G16" s="2"/>
      <c r="H16" s="2"/>
      <c r="I16" s="3"/>
      <c r="J16" s="2"/>
      <c r="K16" s="2"/>
      <c r="L16" s="2"/>
      <c r="M16" s="2"/>
      <c r="N16" s="2"/>
      <c r="O16" s="2"/>
      <c r="P16" s="2"/>
    </row>
    <row r="17" spans="2:16" ht="20.25">
      <c r="B17" s="285"/>
      <c r="C17" s="141" t="s">
        <v>270</v>
      </c>
      <c r="D17" s="2"/>
      <c r="E17" s="2"/>
      <c r="F17" s="2"/>
      <c r="G17" s="2"/>
      <c r="H17" s="2"/>
      <c r="I17" s="3"/>
      <c r="J17" s="2"/>
      <c r="K17" s="2"/>
      <c r="L17" s="2"/>
      <c r="M17" s="2"/>
      <c r="N17" s="2"/>
      <c r="O17" s="2"/>
      <c r="P17" s="2"/>
    </row>
    <row r="18" spans="2:16" ht="20.25">
      <c r="B18" s="2"/>
      <c r="C18" s="141" t="s">
        <v>12</v>
      </c>
      <c r="D18" s="2"/>
      <c r="E18" s="2"/>
      <c r="F18" s="2"/>
      <c r="G18" s="2"/>
      <c r="H18" s="2"/>
      <c r="I18" s="3"/>
      <c r="J18" s="2"/>
      <c r="K18" s="2"/>
      <c r="L18" s="2"/>
      <c r="M18" s="2"/>
      <c r="N18" s="2"/>
      <c r="O18" s="2"/>
      <c r="P18" s="2"/>
    </row>
    <row r="19" spans="2:16" ht="20.25">
      <c r="B19" s="2"/>
      <c r="C19" s="141"/>
      <c r="D19" s="2"/>
      <c r="E19" s="2"/>
      <c r="F19" s="2"/>
      <c r="G19" s="2"/>
      <c r="H19" s="2"/>
      <c r="I19" s="3"/>
      <c r="J19" s="2"/>
      <c r="K19" s="2"/>
      <c r="L19" s="2"/>
      <c r="M19" s="2"/>
      <c r="N19" s="2"/>
      <c r="O19" s="2"/>
      <c r="P19" s="2"/>
    </row>
    <row r="20" spans="2:16" ht="12.75">
      <c r="B20" s="2"/>
      <c r="C20" s="94"/>
      <c r="D20" s="2"/>
      <c r="E20" s="2"/>
      <c r="F20" s="2"/>
      <c r="G20" s="2"/>
      <c r="H20" s="2"/>
      <c r="I20" s="2"/>
      <c r="J20" s="2"/>
      <c r="K20" s="2"/>
      <c r="L20" s="2"/>
      <c r="M20" s="2"/>
      <c r="N20" s="2"/>
      <c r="O20" s="2"/>
      <c r="P20" s="2"/>
    </row>
    <row r="21" spans="2:16" ht="14.25">
      <c r="B21" s="7" t="s">
        <v>13</v>
      </c>
      <c r="C21" s="2"/>
      <c r="D21" s="2"/>
      <c r="E21" s="2"/>
      <c r="F21" s="2"/>
      <c r="G21" s="2"/>
      <c r="H21" s="2"/>
      <c r="I21" s="2"/>
      <c r="J21" s="2"/>
      <c r="K21" s="2"/>
      <c r="L21" s="2"/>
      <c r="M21" s="2"/>
      <c r="N21" s="2"/>
      <c r="O21" s="2"/>
      <c r="P21" s="2"/>
    </row>
    <row r="22" spans="2:16" ht="12.75" customHeight="1">
      <c r="B22" s="328"/>
      <c r="C22" s="328"/>
      <c r="D22" s="328"/>
      <c r="E22" s="328"/>
      <c r="F22" s="328"/>
      <c r="G22" s="328"/>
      <c r="H22" s="328"/>
      <c r="I22" s="328"/>
      <c r="J22" s="328"/>
      <c r="K22" s="328"/>
      <c r="L22" s="328"/>
      <c r="M22" s="328"/>
      <c r="N22" s="328"/>
      <c r="O22" s="328"/>
      <c r="P22" s="2"/>
    </row>
    <row r="23" spans="2:16" ht="12.75">
      <c r="B23" s="328"/>
      <c r="C23" s="328"/>
      <c r="D23" s="328"/>
      <c r="E23" s="328"/>
      <c r="F23" s="328"/>
      <c r="G23" s="328"/>
      <c r="H23" s="328"/>
      <c r="I23" s="328"/>
      <c r="J23" s="328"/>
      <c r="K23" s="328"/>
      <c r="L23" s="328"/>
      <c r="M23" s="328"/>
      <c r="N23" s="328"/>
      <c r="O23" s="328"/>
      <c r="P23" s="2"/>
    </row>
    <row r="24" spans="2:16" ht="12.75">
      <c r="B24" s="328"/>
      <c r="C24" s="328"/>
      <c r="D24" s="328"/>
      <c r="E24" s="328"/>
      <c r="F24" s="328"/>
      <c r="G24" s="328"/>
      <c r="H24" s="328"/>
      <c r="I24" s="328"/>
      <c r="J24" s="328"/>
      <c r="K24" s="328"/>
      <c r="L24" s="328"/>
      <c r="M24" s="328"/>
      <c r="N24" s="328"/>
      <c r="O24" s="328"/>
      <c r="P24" s="2"/>
    </row>
    <row r="25" spans="2:16" ht="12.75">
      <c r="B25" s="328"/>
      <c r="C25" s="328"/>
      <c r="D25" s="328"/>
      <c r="E25" s="328"/>
      <c r="F25" s="328"/>
      <c r="G25" s="328"/>
      <c r="H25" s="328"/>
      <c r="I25" s="328"/>
      <c r="J25" s="328"/>
      <c r="K25" s="328"/>
      <c r="L25" s="328"/>
      <c r="M25" s="328"/>
      <c r="N25" s="328"/>
      <c r="O25" s="328"/>
      <c r="P25" s="2"/>
    </row>
    <row r="26" spans="2:16" ht="12.75">
      <c r="B26" s="328"/>
      <c r="C26" s="328"/>
      <c r="D26" s="328"/>
      <c r="E26" s="328"/>
      <c r="F26" s="328"/>
      <c r="G26" s="328"/>
      <c r="H26" s="328"/>
      <c r="I26" s="328"/>
      <c r="J26" s="328"/>
      <c r="K26" s="328"/>
      <c r="L26" s="328"/>
      <c r="M26" s="328"/>
      <c r="N26" s="328"/>
      <c r="O26" s="328"/>
      <c r="P26" s="2"/>
    </row>
    <row r="27" spans="2:16" ht="12.75">
      <c r="B27" s="328"/>
      <c r="C27" s="328"/>
      <c r="D27" s="328"/>
      <c r="E27" s="328"/>
      <c r="F27" s="328"/>
      <c r="G27" s="328"/>
      <c r="H27" s="328"/>
      <c r="I27" s="328"/>
      <c r="J27" s="328"/>
      <c r="K27" s="328"/>
      <c r="L27" s="328"/>
      <c r="M27" s="328"/>
      <c r="N27" s="328"/>
      <c r="O27" s="328"/>
      <c r="P27" s="2"/>
    </row>
    <row r="28" spans="2:16" ht="12.75">
      <c r="B28" s="328"/>
      <c r="C28" s="328"/>
      <c r="D28" s="328"/>
      <c r="E28" s="328"/>
      <c r="F28" s="328"/>
      <c r="G28" s="328"/>
      <c r="H28" s="328"/>
      <c r="I28" s="328"/>
      <c r="J28" s="328"/>
      <c r="K28" s="328"/>
      <c r="L28" s="328"/>
      <c r="M28" s="328"/>
      <c r="N28" s="328"/>
      <c r="O28" s="328"/>
      <c r="P28" s="2"/>
    </row>
    <row r="29" spans="2:16" ht="12.75">
      <c r="B29" s="328"/>
      <c r="C29" s="328"/>
      <c r="D29" s="328"/>
      <c r="E29" s="328"/>
      <c r="F29" s="328"/>
      <c r="G29" s="328"/>
      <c r="H29" s="328"/>
      <c r="I29" s="328"/>
      <c r="J29" s="328"/>
      <c r="K29" s="328"/>
      <c r="L29" s="328"/>
      <c r="M29" s="328"/>
      <c r="N29" s="328"/>
      <c r="O29" s="328"/>
      <c r="P29" s="2"/>
    </row>
    <row r="30" spans="2:16" ht="12.75">
      <c r="B30" s="328"/>
      <c r="C30" s="328"/>
      <c r="D30" s="328"/>
      <c r="E30" s="328"/>
      <c r="F30" s="328"/>
      <c r="G30" s="328"/>
      <c r="H30" s="328"/>
      <c r="I30" s="328"/>
      <c r="J30" s="328"/>
      <c r="K30" s="328"/>
      <c r="L30" s="328"/>
      <c r="M30" s="328"/>
      <c r="N30" s="328"/>
      <c r="O30" s="328"/>
      <c r="P30" s="2"/>
    </row>
    <row r="31" spans="2:16" ht="12.75">
      <c r="B31" s="328"/>
      <c r="C31" s="328"/>
      <c r="D31" s="328"/>
      <c r="E31" s="328"/>
      <c r="F31" s="328"/>
      <c r="G31" s="328"/>
      <c r="H31" s="328"/>
      <c r="I31" s="328"/>
      <c r="J31" s="328"/>
      <c r="K31" s="328"/>
      <c r="L31" s="328"/>
      <c r="M31" s="328"/>
      <c r="N31" s="328"/>
      <c r="O31" s="328"/>
      <c r="P31" s="2"/>
    </row>
    <row r="32" spans="2:16" ht="12.75">
      <c r="B32" s="328"/>
      <c r="C32" s="328"/>
      <c r="D32" s="328"/>
      <c r="E32" s="328"/>
      <c r="F32" s="328"/>
      <c r="G32" s="328"/>
      <c r="H32" s="328"/>
      <c r="I32" s="328"/>
      <c r="J32" s="328"/>
      <c r="K32" s="328"/>
      <c r="L32" s="328"/>
      <c r="M32" s="328"/>
      <c r="N32" s="328"/>
      <c r="O32" s="328"/>
      <c r="P32" s="2"/>
    </row>
    <row r="33" spans="2:16" ht="12.75">
      <c r="B33" s="328"/>
      <c r="C33" s="328"/>
      <c r="D33" s="328"/>
      <c r="E33" s="328"/>
      <c r="F33" s="328"/>
      <c r="G33" s="328"/>
      <c r="H33" s="328"/>
      <c r="I33" s="328"/>
      <c r="J33" s="328"/>
      <c r="K33" s="328"/>
      <c r="L33" s="328"/>
      <c r="M33" s="328"/>
      <c r="N33" s="328"/>
      <c r="O33" s="328"/>
      <c r="P33" s="2"/>
    </row>
    <row r="34" spans="2:16" ht="12.75">
      <c r="B34" s="328"/>
      <c r="C34" s="328"/>
      <c r="D34" s="328"/>
      <c r="E34" s="328"/>
      <c r="F34" s="328"/>
      <c r="G34" s="328"/>
      <c r="H34" s="328"/>
      <c r="I34" s="328"/>
      <c r="J34" s="328"/>
      <c r="K34" s="328"/>
      <c r="L34" s="328"/>
      <c r="M34" s="328"/>
      <c r="N34" s="328"/>
      <c r="O34" s="328"/>
      <c r="P34" s="2"/>
    </row>
    <row r="35" spans="2:16" ht="33.75" customHeight="1">
      <c r="B35" s="328"/>
      <c r="C35" s="328"/>
      <c r="D35" s="328"/>
      <c r="E35" s="328"/>
      <c r="F35" s="328"/>
      <c r="G35" s="328"/>
      <c r="H35" s="328"/>
      <c r="I35" s="328"/>
      <c r="J35" s="328"/>
      <c r="K35" s="328"/>
      <c r="L35" s="328"/>
      <c r="M35" s="328"/>
      <c r="N35" s="328"/>
      <c r="O35" s="328"/>
      <c r="P35" s="2"/>
    </row>
    <row r="36" spans="2:16" ht="12.75">
      <c r="B36" s="2"/>
      <c r="C36" s="2"/>
      <c r="D36" s="2"/>
      <c r="E36" s="2"/>
      <c r="F36" s="2"/>
      <c r="G36" s="2"/>
      <c r="H36" s="2"/>
      <c r="I36" s="2"/>
      <c r="J36" s="2"/>
      <c r="K36" s="2"/>
      <c r="L36" s="2"/>
      <c r="M36" s="2"/>
      <c r="N36" s="2"/>
      <c r="O36" s="2"/>
      <c r="P36" s="2"/>
    </row>
    <row r="37" spans="2:16" ht="12.75">
      <c r="B37" s="2"/>
      <c r="C37" s="2"/>
      <c r="D37" s="2"/>
      <c r="E37" s="2"/>
      <c r="F37" s="2"/>
      <c r="G37" s="2"/>
      <c r="H37" s="2"/>
      <c r="I37" s="2"/>
      <c r="J37" s="2"/>
      <c r="K37" s="2"/>
      <c r="L37" s="2"/>
      <c r="M37" s="2"/>
      <c r="N37" s="2"/>
      <c r="O37" s="2"/>
      <c r="P37" s="2"/>
    </row>
  </sheetData>
  <sheetProtection/>
  <mergeCells count="1">
    <mergeCell ref="B22:O35"/>
  </mergeCells>
  <hyperlinks>
    <hyperlink ref="C8" location="'1 Revenue analysis quarters'!A1" display="1 Revenue analysis quarters"/>
    <hyperlink ref="C9" location="'2 Regional results'!A1" display="2 Regional results"/>
    <hyperlink ref="C10" location="'3 Adjusted Income Statement'!A1" display="3 Adjusted Income Statement"/>
    <hyperlink ref="C11" location="'4 Cash flow'!A1" display="4 Cash flow"/>
    <hyperlink ref="C13" location="'6 Full year regional analysis'!A1" display="6 Full year regional analysis"/>
    <hyperlink ref="C14" location="'7 Customers'!A1" display="7 Customers"/>
    <hyperlink ref="C16" location="'9 Voice usage'!A1" display="9 Usage"/>
    <hyperlink ref="C17" location="'10 ARPU'!A1" display="10 ARPU"/>
    <hyperlink ref="C18" location="'11 Definitions'!A1" display="11 Definitions"/>
    <hyperlink ref="C12" location="'5 Half-year regional analysis'!A1" display="5 Half-year regional analysis"/>
    <hyperlink ref="C15" location="'8 Churn'!A1" display="8 Churn"/>
  </hyperlinks>
  <printOptions/>
  <pageMargins left="0.7480314960629921" right="0.7480314960629921" top="0.984251968503937" bottom="0.984251968503937" header="0.5118110236220472" footer="0.5118110236220472"/>
  <pageSetup fitToHeight="1" fitToWidth="1" horizontalDpi="600" verticalDpi="600" orientation="portrait" paperSize="9" scale="63" r:id="rId3"/>
  <drawing r:id="rId2"/>
  <legacy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AC42"/>
  <sheetViews>
    <sheetView showGridLines="0" view="pageBreakPreview" zoomScaleSheetLayoutView="100" workbookViewId="0" topLeftCell="A1">
      <pane xSplit="2" ySplit="2" topLeftCell="C3" activePane="bottomRight" state="frozen"/>
      <selection pane="topLeft" activeCell="B55" sqref="B55:J61"/>
      <selection pane="topRight" activeCell="B55" sqref="B55:J61"/>
      <selection pane="bottomLeft" activeCell="B55" sqref="B55:J61"/>
      <selection pane="bottomRight" activeCell="A1" sqref="A1"/>
    </sheetView>
  </sheetViews>
  <sheetFormatPr defaultColWidth="9.140625" defaultRowHeight="12.75"/>
  <cols>
    <col min="1" max="1" width="4.28125" style="41" customWidth="1"/>
    <col min="2" max="2" width="27.7109375" style="10" bestFit="1" customWidth="1"/>
    <col min="3" max="3" width="11.140625" style="107" customWidth="1"/>
    <col min="4" max="6" width="11.140625" style="107" bestFit="1" customWidth="1"/>
    <col min="7" max="8" width="10.28125" style="107" customWidth="1"/>
    <col min="9" max="10" width="11.140625" style="107" bestFit="1" customWidth="1"/>
    <col min="11" max="11" width="11.140625" style="107" customWidth="1"/>
    <col min="12" max="12" width="4.140625" style="10" customWidth="1"/>
    <col min="13" max="20" width="10.28125" style="10" customWidth="1"/>
    <col min="21" max="21" width="4.140625" style="10" customWidth="1"/>
    <col min="22" max="22" width="9.8515625" style="107" bestFit="1" customWidth="1"/>
    <col min="23" max="25" width="10.28125" style="107" bestFit="1" customWidth="1"/>
    <col min="26" max="26" width="9.8515625" style="107" bestFit="1" customWidth="1"/>
    <col min="27" max="28" width="10.28125" style="107" bestFit="1" customWidth="1"/>
    <col min="29" max="29" width="10.28125" style="107" customWidth="1"/>
    <col min="30" max="31" width="4.140625" style="10" customWidth="1"/>
    <col min="32" max="16384" width="9.140625" style="10" customWidth="1"/>
  </cols>
  <sheetData>
    <row r="1" spans="1:29" ht="12.75">
      <c r="A1" s="14"/>
      <c r="G1" s="10"/>
      <c r="I1" s="10"/>
      <c r="J1" s="10"/>
      <c r="K1" s="10"/>
      <c r="R1" s="107"/>
      <c r="S1" s="107"/>
      <c r="T1" s="107"/>
      <c r="U1" s="107"/>
      <c r="Z1" s="10"/>
      <c r="AA1" s="10"/>
      <c r="AB1" s="10"/>
      <c r="AC1" s="10"/>
    </row>
    <row r="2" spans="1:16" s="9" customFormat="1" ht="15.75">
      <c r="A2" s="14"/>
      <c r="C2" s="341" t="s">
        <v>242</v>
      </c>
      <c r="D2" s="341"/>
      <c r="E2" s="341"/>
      <c r="F2" s="341"/>
      <c r="G2" s="341"/>
      <c r="H2" s="341"/>
      <c r="I2" s="341"/>
      <c r="J2" s="341"/>
      <c r="K2" s="108"/>
      <c r="L2" s="108"/>
      <c r="M2" s="108"/>
      <c r="N2" s="108"/>
      <c r="O2" s="108"/>
      <c r="P2" s="108"/>
    </row>
    <row r="3" spans="1:16" s="92" customFormat="1" ht="12.75">
      <c r="A3" s="109"/>
      <c r="C3" s="91" t="s">
        <v>107</v>
      </c>
      <c r="D3" s="91" t="s">
        <v>108</v>
      </c>
      <c r="E3" s="91" t="s">
        <v>109</v>
      </c>
      <c r="F3" s="91" t="s">
        <v>163</v>
      </c>
      <c r="G3" s="91" t="s">
        <v>164</v>
      </c>
      <c r="H3" s="91" t="s">
        <v>189</v>
      </c>
      <c r="I3" s="91" t="s">
        <v>195</v>
      </c>
      <c r="J3" s="91" t="s">
        <v>246</v>
      </c>
      <c r="K3" s="110"/>
      <c r="L3" s="110"/>
      <c r="M3" s="110"/>
      <c r="N3" s="110"/>
      <c r="O3" s="110"/>
      <c r="P3" s="110"/>
    </row>
    <row r="4" spans="1:29" ht="12.75">
      <c r="A4" s="14" t="s">
        <v>15</v>
      </c>
      <c r="C4" s="90"/>
      <c r="D4" s="90"/>
      <c r="E4" s="90"/>
      <c r="F4" s="10"/>
      <c r="G4" s="90"/>
      <c r="H4" s="111"/>
      <c r="I4" s="111"/>
      <c r="J4" s="111"/>
      <c r="K4" s="111"/>
      <c r="L4" s="111"/>
      <c r="M4" s="111"/>
      <c r="N4" s="111"/>
      <c r="O4" s="111"/>
      <c r="P4" s="111"/>
      <c r="V4" s="10"/>
      <c r="W4" s="10"/>
      <c r="X4" s="10"/>
      <c r="Y4" s="10"/>
      <c r="Z4" s="10"/>
      <c r="AA4" s="10"/>
      <c r="AB4" s="10"/>
      <c r="AC4" s="10"/>
    </row>
    <row r="5" spans="1:29" ht="12.75">
      <c r="A5" s="14"/>
      <c r="B5" s="10" t="s">
        <v>16</v>
      </c>
      <c r="C5" s="220">
        <v>10263</v>
      </c>
      <c r="D5" s="220">
        <v>10827</v>
      </c>
      <c r="E5" s="220">
        <v>11023</v>
      </c>
      <c r="F5" s="220">
        <v>11507</v>
      </c>
      <c r="G5" s="220">
        <v>11522</v>
      </c>
      <c r="H5" s="220">
        <v>11847</v>
      </c>
      <c r="I5" s="220">
        <v>11830</v>
      </c>
      <c r="J5" s="327">
        <v>11642</v>
      </c>
      <c r="K5" s="111"/>
      <c r="L5" s="111"/>
      <c r="M5" s="111"/>
      <c r="N5" s="111"/>
      <c r="O5" s="111"/>
      <c r="P5" s="111"/>
      <c r="V5" s="10"/>
      <c r="W5" s="10"/>
      <c r="X5" s="10"/>
      <c r="Y5" s="10"/>
      <c r="Z5" s="10"/>
      <c r="AA5" s="10"/>
      <c r="AB5" s="10"/>
      <c r="AC5" s="10"/>
    </row>
    <row r="6" spans="1:29" ht="12.75">
      <c r="A6" s="14"/>
      <c r="B6" s="10" t="s">
        <v>17</v>
      </c>
      <c r="C6" s="220">
        <v>9051</v>
      </c>
      <c r="D6" s="220">
        <v>9651</v>
      </c>
      <c r="E6" s="220">
        <v>9813</v>
      </c>
      <c r="F6" s="220">
        <v>10094</v>
      </c>
      <c r="G6" s="220">
        <v>10010</v>
      </c>
      <c r="H6" s="220">
        <v>10622</v>
      </c>
      <c r="I6" s="220">
        <v>10337</v>
      </c>
      <c r="J6" s="327">
        <v>10566</v>
      </c>
      <c r="K6" s="111"/>
      <c r="L6" s="111"/>
      <c r="M6" s="111"/>
      <c r="N6" s="111"/>
      <c r="O6" s="111"/>
      <c r="P6" s="111"/>
      <c r="V6" s="10"/>
      <c r="W6" s="10"/>
      <c r="X6" s="10"/>
      <c r="Y6" s="10"/>
      <c r="Z6" s="10"/>
      <c r="AA6" s="10"/>
      <c r="AB6" s="10"/>
      <c r="AC6" s="10"/>
    </row>
    <row r="7" spans="1:29" ht="12.75">
      <c r="A7" s="14"/>
      <c r="B7" s="10" t="s">
        <v>69</v>
      </c>
      <c r="C7" s="220">
        <v>8886</v>
      </c>
      <c r="D7" s="220">
        <v>8800</v>
      </c>
      <c r="E7" s="220">
        <v>8815</v>
      </c>
      <c r="F7" s="220">
        <v>9226</v>
      </c>
      <c r="G7" s="220">
        <v>9059</v>
      </c>
      <c r="H7" s="220">
        <v>8827</v>
      </c>
      <c r="I7" s="220">
        <v>8457</v>
      </c>
      <c r="J7" s="327">
        <v>8759</v>
      </c>
      <c r="K7" s="111"/>
      <c r="L7" s="111"/>
      <c r="M7" s="111"/>
      <c r="N7" s="111"/>
      <c r="O7" s="111"/>
      <c r="P7" s="111"/>
      <c r="V7" s="10"/>
      <c r="W7" s="10"/>
      <c r="X7" s="10"/>
      <c r="Y7" s="10"/>
      <c r="Z7" s="10"/>
      <c r="AA7" s="10"/>
      <c r="AB7" s="10"/>
      <c r="AC7" s="10"/>
    </row>
    <row r="8" spans="1:29" ht="12.75">
      <c r="A8" s="14"/>
      <c r="B8" s="10" t="s">
        <v>70</v>
      </c>
      <c r="C8" s="220">
        <v>9112</v>
      </c>
      <c r="D8" s="220">
        <v>9434</v>
      </c>
      <c r="E8" s="220">
        <v>9508</v>
      </c>
      <c r="F8" s="220">
        <v>9650</v>
      </c>
      <c r="G8" s="220">
        <v>9597</v>
      </c>
      <c r="H8" s="220">
        <v>9762</v>
      </c>
      <c r="I8" s="220">
        <v>10195</v>
      </c>
      <c r="J8" s="327">
        <v>9784</v>
      </c>
      <c r="K8" s="111"/>
      <c r="L8" s="111"/>
      <c r="M8" s="111"/>
      <c r="N8" s="111"/>
      <c r="O8" s="111"/>
      <c r="P8" s="111"/>
      <c r="V8" s="10"/>
      <c r="W8" s="10"/>
      <c r="X8" s="10"/>
      <c r="Y8" s="10"/>
      <c r="Z8" s="10"/>
      <c r="AA8" s="10"/>
      <c r="AB8" s="10"/>
      <c r="AC8" s="10"/>
    </row>
    <row r="9" spans="1:29" ht="12.75">
      <c r="A9" s="14"/>
      <c r="B9" s="10" t="s">
        <v>110</v>
      </c>
      <c r="C9" s="220">
        <v>2282</v>
      </c>
      <c r="D9" s="220">
        <v>2244</v>
      </c>
      <c r="E9" s="220">
        <v>2262</v>
      </c>
      <c r="F9" s="220">
        <v>2395</v>
      </c>
      <c r="G9" s="220">
        <v>2443</v>
      </c>
      <c r="H9" s="220">
        <v>2370</v>
      </c>
      <c r="I9" s="220">
        <v>2281</v>
      </c>
      <c r="J9" s="327">
        <v>2402</v>
      </c>
      <c r="K9" s="111"/>
      <c r="L9" s="111"/>
      <c r="M9" s="111"/>
      <c r="N9" s="111"/>
      <c r="O9" s="111"/>
      <c r="P9" s="111"/>
      <c r="V9" s="10"/>
      <c r="W9" s="10"/>
      <c r="X9" s="10"/>
      <c r="Y9" s="10"/>
      <c r="Z9" s="10"/>
      <c r="AA9" s="10"/>
      <c r="AB9" s="10"/>
      <c r="AC9" s="10"/>
    </row>
    <row r="10" spans="1:29" ht="12.75">
      <c r="A10" s="14"/>
      <c r="B10" s="10" t="s">
        <v>111</v>
      </c>
      <c r="C10" s="220">
        <v>1899</v>
      </c>
      <c r="D10" s="220">
        <v>2036</v>
      </c>
      <c r="E10" s="220">
        <v>2077</v>
      </c>
      <c r="F10" s="220">
        <v>2260</v>
      </c>
      <c r="G10" s="220">
        <v>2108</v>
      </c>
      <c r="H10" s="220">
        <v>2313</v>
      </c>
      <c r="I10" s="220">
        <v>2278</v>
      </c>
      <c r="J10" s="327">
        <v>2363</v>
      </c>
      <c r="K10" s="111"/>
      <c r="L10" s="111"/>
      <c r="M10" s="111"/>
      <c r="N10" s="111"/>
      <c r="O10" s="111"/>
      <c r="P10" s="111"/>
      <c r="V10" s="10"/>
      <c r="W10" s="10"/>
      <c r="X10" s="10"/>
      <c r="Y10" s="10"/>
      <c r="Z10" s="10"/>
      <c r="AA10" s="10"/>
      <c r="AB10" s="10"/>
      <c r="AC10" s="10"/>
    </row>
    <row r="11" spans="1:29" ht="12.75">
      <c r="A11" s="14"/>
      <c r="B11" s="10" t="s">
        <v>112</v>
      </c>
      <c r="C11" s="220">
        <v>1836</v>
      </c>
      <c r="D11" s="220">
        <v>1764</v>
      </c>
      <c r="E11" s="220">
        <v>1763</v>
      </c>
      <c r="F11" s="220">
        <v>1839</v>
      </c>
      <c r="G11" s="220">
        <v>2049</v>
      </c>
      <c r="H11" s="220">
        <v>2075</v>
      </c>
      <c r="I11" s="220">
        <v>2143</v>
      </c>
      <c r="J11" s="327">
        <v>2206</v>
      </c>
      <c r="K11" s="111"/>
      <c r="L11" s="111"/>
      <c r="M11" s="111"/>
      <c r="N11" s="111"/>
      <c r="O11" s="111"/>
      <c r="P11" s="111"/>
      <c r="V11" s="10"/>
      <c r="W11" s="10"/>
      <c r="X11" s="10"/>
      <c r="Y11" s="10"/>
      <c r="Z11" s="10"/>
      <c r="AA11" s="10"/>
      <c r="AB11" s="10"/>
      <c r="AC11" s="10"/>
    </row>
    <row r="12" spans="1:29" ht="12.75">
      <c r="A12" s="14"/>
      <c r="B12" s="10" t="s">
        <v>36</v>
      </c>
      <c r="C12" s="132">
        <v>1796</v>
      </c>
      <c r="D12" s="132">
        <v>1790</v>
      </c>
      <c r="E12" s="132">
        <v>1787</v>
      </c>
      <c r="F12" s="132">
        <v>1970</v>
      </c>
      <c r="G12" s="132">
        <v>1911</v>
      </c>
      <c r="H12" s="132">
        <v>1994</v>
      </c>
      <c r="I12" s="132">
        <v>1952</v>
      </c>
      <c r="J12" s="131">
        <v>2004</v>
      </c>
      <c r="K12" s="111"/>
      <c r="L12" s="111"/>
      <c r="M12" s="111"/>
      <c r="N12" s="111"/>
      <c r="O12" s="111"/>
      <c r="P12" s="111"/>
      <c r="V12" s="10"/>
      <c r="W12" s="10"/>
      <c r="X12" s="10"/>
      <c r="Y12" s="10"/>
      <c r="Z12" s="10"/>
      <c r="AA12" s="10"/>
      <c r="AB12" s="10"/>
      <c r="AC12" s="10"/>
    </row>
    <row r="13" spans="1:25" s="41" customFormat="1" ht="13.5" thickBot="1">
      <c r="A13" s="14"/>
      <c r="C13" s="326">
        <v>45125</v>
      </c>
      <c r="D13" s="326">
        <v>46546</v>
      </c>
      <c r="E13" s="326">
        <v>47048</v>
      </c>
      <c r="F13" s="326">
        <v>48941</v>
      </c>
      <c r="G13" s="326">
        <v>48699</v>
      </c>
      <c r="H13" s="326">
        <v>49810</v>
      </c>
      <c r="I13" s="326">
        <f>SUM(I5:I12)</f>
        <v>49473</v>
      </c>
      <c r="J13" s="282">
        <v>49726</v>
      </c>
      <c r="K13" s="111"/>
      <c r="L13" s="111"/>
      <c r="M13" s="111"/>
      <c r="N13" s="111"/>
      <c r="O13" s="111"/>
      <c r="P13" s="111"/>
      <c r="R13" s="10"/>
      <c r="S13" s="10"/>
      <c r="T13" s="10"/>
      <c r="U13" s="10"/>
      <c r="V13" s="10"/>
      <c r="W13" s="10"/>
      <c r="X13" s="10"/>
      <c r="Y13" s="10"/>
    </row>
    <row r="14" spans="1:29" ht="13.5" thickTop="1">
      <c r="A14" s="14"/>
      <c r="C14" s="112"/>
      <c r="D14" s="112"/>
      <c r="E14" s="112"/>
      <c r="F14" s="10"/>
      <c r="G14" s="112"/>
      <c r="H14" s="112"/>
      <c r="I14" s="112"/>
      <c r="J14" s="112"/>
      <c r="K14" s="111"/>
      <c r="L14" s="111"/>
      <c r="M14" s="111"/>
      <c r="N14" s="111"/>
      <c r="O14" s="111"/>
      <c r="P14" s="111"/>
      <c r="V14" s="10"/>
      <c r="W14" s="10"/>
      <c r="X14" s="10"/>
      <c r="Y14" s="10"/>
      <c r="Z14" s="10"/>
      <c r="AA14" s="10"/>
      <c r="AB14" s="10"/>
      <c r="AC14" s="10"/>
    </row>
    <row r="15" spans="1:29" ht="12.75">
      <c r="A15" s="41" t="s">
        <v>214</v>
      </c>
      <c r="C15" s="112"/>
      <c r="D15" s="112"/>
      <c r="E15" s="112"/>
      <c r="F15" s="10"/>
      <c r="G15" s="112"/>
      <c r="H15" s="112"/>
      <c r="I15" s="112"/>
      <c r="J15" s="112"/>
      <c r="K15" s="111"/>
      <c r="L15" s="111"/>
      <c r="M15" s="111"/>
      <c r="N15" s="111"/>
      <c r="O15" s="111"/>
      <c r="P15" s="111"/>
      <c r="V15" s="10"/>
      <c r="W15" s="10"/>
      <c r="X15" s="10"/>
      <c r="Y15" s="10"/>
      <c r="Z15" s="10"/>
      <c r="AA15" s="10"/>
      <c r="AB15" s="10"/>
      <c r="AC15" s="10"/>
    </row>
    <row r="16" spans="1:29" ht="12.75">
      <c r="A16" s="14"/>
      <c r="B16" s="41"/>
      <c r="C16" s="112"/>
      <c r="D16" s="112"/>
      <c r="E16" s="112"/>
      <c r="F16" s="10"/>
      <c r="G16" s="112"/>
      <c r="H16" s="112"/>
      <c r="I16" s="112"/>
      <c r="J16" s="112"/>
      <c r="K16" s="111"/>
      <c r="L16" s="111"/>
      <c r="M16" s="111"/>
      <c r="N16" s="111"/>
      <c r="O16" s="111"/>
      <c r="P16" s="111"/>
      <c r="V16" s="10"/>
      <c r="W16" s="10"/>
      <c r="X16" s="10"/>
      <c r="Y16" s="10"/>
      <c r="Z16" s="10"/>
      <c r="AA16" s="10"/>
      <c r="AB16" s="10"/>
      <c r="AC16" s="10"/>
    </row>
    <row r="17" spans="1:29" ht="14.25">
      <c r="A17" s="14"/>
      <c r="B17" s="10" t="s">
        <v>263</v>
      </c>
      <c r="C17" s="220">
        <v>4363</v>
      </c>
      <c r="D17" s="220">
        <v>4030</v>
      </c>
      <c r="E17" s="220">
        <v>4080</v>
      </c>
      <c r="F17" s="20">
        <v>4102</v>
      </c>
      <c r="G17" s="220">
        <v>3430</v>
      </c>
      <c r="H17" s="220">
        <v>4056</v>
      </c>
      <c r="I17" s="220">
        <v>3708</v>
      </c>
      <c r="J17" s="327">
        <v>6563</v>
      </c>
      <c r="K17" s="111"/>
      <c r="L17" s="111"/>
      <c r="M17" s="111"/>
      <c r="N17" s="111"/>
      <c r="O17" s="111"/>
      <c r="P17" s="111"/>
      <c r="V17" s="10"/>
      <c r="W17" s="10"/>
      <c r="X17" s="10"/>
      <c r="Y17" s="10"/>
      <c r="Z17" s="10"/>
      <c r="AA17" s="10"/>
      <c r="AB17" s="10"/>
      <c r="AC17" s="10"/>
    </row>
    <row r="18" spans="1:29" ht="12.75">
      <c r="A18" s="14"/>
      <c r="B18" s="10" t="s">
        <v>113</v>
      </c>
      <c r="C18" s="220">
        <v>2726</v>
      </c>
      <c r="D18" s="220">
        <v>2778</v>
      </c>
      <c r="E18" s="220">
        <v>2754</v>
      </c>
      <c r="F18" s="220">
        <v>2910</v>
      </c>
      <c r="G18" s="220">
        <v>2976</v>
      </c>
      <c r="H18" s="220">
        <v>3036</v>
      </c>
      <c r="I18" s="220">
        <v>3043</v>
      </c>
      <c r="J18" s="327">
        <v>3223</v>
      </c>
      <c r="K18" s="111"/>
      <c r="L18" s="111"/>
      <c r="M18" s="111"/>
      <c r="N18" s="111"/>
      <c r="O18" s="111"/>
      <c r="P18" s="111"/>
      <c r="V18" s="10"/>
      <c r="W18" s="10"/>
      <c r="X18" s="10"/>
      <c r="Y18" s="10"/>
      <c r="Z18" s="10"/>
      <c r="AA18" s="10"/>
      <c r="AB18" s="10"/>
      <c r="AC18" s="10"/>
    </row>
    <row r="19" spans="1:29" ht="12.75">
      <c r="A19" s="14"/>
      <c r="B19" s="10" t="s">
        <v>114</v>
      </c>
      <c r="C19" s="220">
        <v>6551</v>
      </c>
      <c r="D19" s="220">
        <v>6157</v>
      </c>
      <c r="E19" s="220">
        <v>6155</v>
      </c>
      <c r="F19" s="220">
        <v>6876</v>
      </c>
      <c r="G19" s="220">
        <v>7028</v>
      </c>
      <c r="H19" s="220">
        <v>7122</v>
      </c>
      <c r="I19" s="220">
        <v>6816</v>
      </c>
      <c r="J19" s="327">
        <v>8714</v>
      </c>
      <c r="K19" s="111"/>
      <c r="L19" s="111"/>
      <c r="M19" s="111"/>
      <c r="N19" s="111"/>
      <c r="O19" s="111"/>
      <c r="P19" s="111"/>
      <c r="V19" s="10"/>
      <c r="W19" s="10"/>
      <c r="X19" s="10"/>
      <c r="Y19" s="10"/>
      <c r="Z19" s="10"/>
      <c r="AA19" s="10"/>
      <c r="AB19" s="10"/>
      <c r="AC19" s="10"/>
    </row>
    <row r="20" spans="1:29" ht="14.25">
      <c r="A20" s="14"/>
      <c r="B20" s="10" t="s">
        <v>264</v>
      </c>
      <c r="C20" s="220">
        <v>3457</v>
      </c>
      <c r="D20" s="220">
        <v>3719</v>
      </c>
      <c r="E20" s="220">
        <v>3793</v>
      </c>
      <c r="F20" s="220">
        <v>3757</v>
      </c>
      <c r="G20" s="220">
        <v>3880</v>
      </c>
      <c r="H20" s="220">
        <v>4039</v>
      </c>
      <c r="I20" s="220">
        <v>3775</v>
      </c>
      <c r="J20" s="327">
        <v>4272</v>
      </c>
      <c r="K20" s="111"/>
      <c r="L20" s="111"/>
      <c r="M20" s="111"/>
      <c r="N20" s="111"/>
      <c r="O20" s="111"/>
      <c r="P20" s="111"/>
      <c r="V20" s="10"/>
      <c r="W20" s="10"/>
      <c r="X20" s="10"/>
      <c r="Y20" s="10"/>
      <c r="Z20" s="10"/>
      <c r="AA20" s="10"/>
      <c r="AB20" s="10"/>
      <c r="AC20" s="10"/>
    </row>
    <row r="21" spans="1:16" s="41" customFormat="1" ht="13.5" thickBot="1">
      <c r="A21" s="14"/>
      <c r="C21" s="326">
        <v>17097</v>
      </c>
      <c r="D21" s="326">
        <v>16684</v>
      </c>
      <c r="E21" s="326">
        <v>16782</v>
      </c>
      <c r="F21" s="326">
        <v>17645</v>
      </c>
      <c r="G21" s="326">
        <v>17314</v>
      </c>
      <c r="H21" s="326">
        <v>18253</v>
      </c>
      <c r="I21" s="326">
        <f>SUM(I17:I20)</f>
        <v>17342</v>
      </c>
      <c r="J21" s="282">
        <f>SUM(J17:J20)</f>
        <v>22772</v>
      </c>
      <c r="K21" s="128"/>
      <c r="L21" s="128"/>
      <c r="M21" s="128"/>
      <c r="N21" s="128"/>
      <c r="O21" s="128"/>
      <c r="P21" s="128"/>
    </row>
    <row r="22" spans="1:29" ht="13.5" thickTop="1">
      <c r="A22" s="14"/>
      <c r="C22" s="115"/>
      <c r="D22" s="115"/>
      <c r="E22" s="115"/>
      <c r="F22" s="10"/>
      <c r="G22" s="115"/>
      <c r="H22" s="115"/>
      <c r="I22" s="115"/>
      <c r="J22" s="115"/>
      <c r="K22" s="111"/>
      <c r="L22" s="111"/>
      <c r="M22" s="111"/>
      <c r="N22" s="111"/>
      <c r="O22" s="111"/>
      <c r="P22" s="111"/>
      <c r="V22" s="10"/>
      <c r="W22" s="10"/>
      <c r="X22" s="10"/>
      <c r="Y22" s="10"/>
      <c r="Z22" s="10"/>
      <c r="AA22" s="10"/>
      <c r="AB22" s="10"/>
      <c r="AC22" s="10"/>
    </row>
    <row r="23" spans="1:29" ht="12.75">
      <c r="A23" s="14" t="s">
        <v>215</v>
      </c>
      <c r="B23" s="41"/>
      <c r="C23" s="112"/>
      <c r="D23" s="112"/>
      <c r="E23" s="112"/>
      <c r="F23" s="10"/>
      <c r="G23" s="112"/>
      <c r="H23" s="112"/>
      <c r="I23" s="112"/>
      <c r="K23" s="111"/>
      <c r="L23" s="111"/>
      <c r="M23" s="111"/>
      <c r="N23" s="111"/>
      <c r="O23" s="111"/>
      <c r="P23" s="111"/>
      <c r="V23" s="10"/>
      <c r="W23" s="10"/>
      <c r="X23" s="10"/>
      <c r="Y23" s="10"/>
      <c r="Z23" s="10"/>
      <c r="AA23" s="10"/>
      <c r="AB23" s="10"/>
      <c r="AC23" s="10"/>
    </row>
    <row r="24" spans="1:29" ht="14.25">
      <c r="A24" s="14"/>
      <c r="B24" s="10" t="s">
        <v>265</v>
      </c>
      <c r="C24" s="220">
        <v>36011</v>
      </c>
      <c r="D24" s="220">
        <v>39913</v>
      </c>
      <c r="E24" s="220">
        <v>46734</v>
      </c>
      <c r="F24" s="220">
        <v>52349</v>
      </c>
      <c r="G24" s="220">
        <v>56745</v>
      </c>
      <c r="H24" s="220">
        <v>61606</v>
      </c>
      <c r="I24" s="220">
        <v>65276</v>
      </c>
      <c r="J24" s="327">
        <v>71775</v>
      </c>
      <c r="K24" s="111"/>
      <c r="L24" s="111"/>
      <c r="M24" s="111"/>
      <c r="N24" s="111"/>
      <c r="O24" s="111"/>
      <c r="P24" s="111"/>
      <c r="V24" s="10"/>
      <c r="W24" s="10"/>
      <c r="X24" s="10"/>
      <c r="Y24" s="10"/>
      <c r="Z24" s="10"/>
      <c r="AA24" s="10"/>
      <c r="AB24" s="10"/>
      <c r="AC24" s="10"/>
    </row>
    <row r="25" spans="1:29" ht="12.75">
      <c r="A25" s="14"/>
      <c r="B25" s="10" t="s">
        <v>115</v>
      </c>
      <c r="C25" s="220">
        <v>5591</v>
      </c>
      <c r="D25" s="220">
        <v>5878</v>
      </c>
      <c r="E25" s="220">
        <v>6398</v>
      </c>
      <c r="F25" s="220">
        <v>7112</v>
      </c>
      <c r="G25" s="220">
        <v>7810</v>
      </c>
      <c r="H25" s="220">
        <v>7975</v>
      </c>
      <c r="I25" s="220">
        <v>7990</v>
      </c>
      <c r="J25" s="327">
        <v>8639</v>
      </c>
      <c r="K25" s="111"/>
      <c r="L25" s="111"/>
      <c r="M25" s="111"/>
      <c r="N25" s="111"/>
      <c r="O25" s="111"/>
      <c r="P25" s="111"/>
      <c r="V25" s="10"/>
      <c r="W25" s="10"/>
      <c r="X25" s="10"/>
      <c r="Y25" s="10"/>
      <c r="Z25" s="10"/>
      <c r="AA25" s="10"/>
      <c r="AB25" s="10"/>
      <c r="AC25" s="10"/>
    </row>
    <row r="26" spans="1:29" ht="12.75">
      <c r="A26" s="14"/>
      <c r="B26" s="10" t="s">
        <v>36</v>
      </c>
      <c r="C26" s="220">
        <v>3128</v>
      </c>
      <c r="D26" s="220">
        <v>3357</v>
      </c>
      <c r="E26" s="220">
        <v>3350</v>
      </c>
      <c r="F26" s="220">
        <v>3397</v>
      </c>
      <c r="G26" s="220">
        <v>3445</v>
      </c>
      <c r="H26" s="220">
        <v>3657</v>
      </c>
      <c r="I26" s="220">
        <v>3559</v>
      </c>
      <c r="J26" s="327">
        <v>3398</v>
      </c>
      <c r="K26" s="111"/>
      <c r="L26" s="111"/>
      <c r="M26" s="111"/>
      <c r="N26" s="111"/>
      <c r="O26" s="111"/>
      <c r="P26" s="111"/>
      <c r="V26" s="10"/>
      <c r="W26" s="10"/>
      <c r="X26" s="10"/>
      <c r="Y26" s="10"/>
      <c r="Z26" s="10"/>
      <c r="AA26" s="10"/>
      <c r="AB26" s="10"/>
      <c r="AC26" s="10"/>
    </row>
    <row r="27" spans="1:16" s="41" customFormat="1" ht="13.5" thickBot="1">
      <c r="A27" s="14"/>
      <c r="C27" s="326">
        <v>44730</v>
      </c>
      <c r="D27" s="326">
        <v>49148</v>
      </c>
      <c r="E27" s="326">
        <v>56482</v>
      </c>
      <c r="F27" s="326">
        <v>62858</v>
      </c>
      <c r="G27" s="326">
        <v>68000</v>
      </c>
      <c r="H27" s="326">
        <v>73238</v>
      </c>
      <c r="I27" s="326">
        <f>SUM(I24:I26)</f>
        <v>76825</v>
      </c>
      <c r="J27" s="282">
        <v>83812</v>
      </c>
      <c r="K27" s="128"/>
      <c r="L27" s="128"/>
      <c r="M27" s="128"/>
      <c r="N27" s="128"/>
      <c r="O27" s="128"/>
      <c r="P27" s="128"/>
    </row>
    <row r="28" spans="1:29" ht="13.5" thickTop="1">
      <c r="A28" s="14"/>
      <c r="C28" s="115"/>
      <c r="D28" s="115"/>
      <c r="E28" s="115"/>
      <c r="F28" s="10"/>
      <c r="G28" s="115"/>
      <c r="H28" s="115"/>
      <c r="I28" s="115"/>
      <c r="J28" s="115"/>
      <c r="K28" s="111"/>
      <c r="L28" s="111"/>
      <c r="M28" s="111"/>
      <c r="N28" s="111"/>
      <c r="O28" s="111"/>
      <c r="P28" s="111"/>
      <c r="V28" s="10"/>
      <c r="W28" s="10"/>
      <c r="X28" s="10"/>
      <c r="Y28" s="10"/>
      <c r="Z28" s="10"/>
      <c r="AA28" s="10"/>
      <c r="AB28" s="10"/>
      <c r="AC28" s="10"/>
    </row>
    <row r="29" spans="1:29" ht="12.75">
      <c r="A29" s="14"/>
      <c r="C29" s="115"/>
      <c r="D29" s="115"/>
      <c r="E29" s="115"/>
      <c r="F29" s="115"/>
      <c r="G29" s="115"/>
      <c r="H29" s="115"/>
      <c r="I29" s="115"/>
      <c r="J29" s="116"/>
      <c r="K29" s="111"/>
      <c r="L29" s="111"/>
      <c r="M29" s="111"/>
      <c r="N29" s="111"/>
      <c r="O29" s="111"/>
      <c r="P29" s="111"/>
      <c r="V29" s="10"/>
      <c r="W29" s="10"/>
      <c r="X29" s="10"/>
      <c r="Y29" s="10"/>
      <c r="Z29" s="10"/>
      <c r="AA29" s="10"/>
      <c r="AB29" s="10"/>
      <c r="AC29" s="10"/>
    </row>
    <row r="30" spans="1:29" ht="13.5" thickBot="1">
      <c r="A30" s="14" t="s">
        <v>20</v>
      </c>
      <c r="C30" s="326">
        <v>106952</v>
      </c>
      <c r="D30" s="326">
        <v>112378</v>
      </c>
      <c r="E30" s="326">
        <v>120312</v>
      </c>
      <c r="F30" s="326">
        <v>129444</v>
      </c>
      <c r="G30" s="326">
        <v>134013</v>
      </c>
      <c r="H30" s="326">
        <v>141301</v>
      </c>
      <c r="I30" s="326">
        <f>I13+I21+I27</f>
        <v>143640</v>
      </c>
      <c r="J30" s="282">
        <v>156310</v>
      </c>
      <c r="K30" s="111"/>
      <c r="L30" s="111"/>
      <c r="M30" s="111"/>
      <c r="N30" s="111"/>
      <c r="O30" s="111"/>
      <c r="P30" s="111"/>
      <c r="V30" s="10"/>
      <c r="W30" s="10"/>
      <c r="X30" s="10"/>
      <c r="Y30" s="10"/>
      <c r="Z30" s="10"/>
      <c r="AA30" s="10"/>
      <c r="AB30" s="10"/>
      <c r="AC30" s="10"/>
    </row>
    <row r="31" spans="1:29" ht="13.5" thickTop="1">
      <c r="A31" s="14"/>
      <c r="C31" s="117"/>
      <c r="D31" s="117"/>
      <c r="E31" s="117"/>
      <c r="F31" s="117"/>
      <c r="G31" s="10"/>
      <c r="H31" s="117"/>
      <c r="I31" s="111"/>
      <c r="J31" s="111"/>
      <c r="K31" s="111"/>
      <c r="L31" s="111"/>
      <c r="M31" s="111"/>
      <c r="N31" s="111"/>
      <c r="O31" s="111"/>
      <c r="P31" s="111"/>
      <c r="V31" s="10"/>
      <c r="W31" s="10"/>
      <c r="X31" s="10"/>
      <c r="Y31" s="10"/>
      <c r="Z31" s="10"/>
      <c r="AA31" s="10"/>
      <c r="AB31" s="10"/>
      <c r="AC31" s="10"/>
    </row>
    <row r="32" spans="1:25" s="41" customFormat="1" ht="12.75">
      <c r="A32" s="9" t="s">
        <v>96</v>
      </c>
      <c r="C32" s="118"/>
      <c r="D32" s="118"/>
      <c r="E32" s="118"/>
      <c r="F32" s="118"/>
      <c r="H32" s="118"/>
      <c r="I32" s="42"/>
      <c r="J32" s="42"/>
      <c r="K32" s="42"/>
      <c r="L32" s="42"/>
      <c r="M32" s="42"/>
      <c r="N32" s="42"/>
      <c r="O32" s="42"/>
      <c r="P32" s="42"/>
      <c r="R32" s="10"/>
      <c r="S32" s="10"/>
      <c r="T32" s="10"/>
      <c r="U32" s="10"/>
      <c r="V32" s="10"/>
      <c r="W32" s="10"/>
      <c r="X32" s="10"/>
      <c r="Y32" s="10"/>
    </row>
    <row r="33" spans="1:29" ht="12.75">
      <c r="A33" s="47" t="s">
        <v>99</v>
      </c>
      <c r="B33" s="342" t="s">
        <v>280</v>
      </c>
      <c r="C33" s="342"/>
      <c r="D33" s="342"/>
      <c r="E33" s="342"/>
      <c r="F33" s="342"/>
      <c r="G33" s="342"/>
      <c r="H33" s="342"/>
      <c r="I33" s="342"/>
      <c r="J33" s="342"/>
      <c r="K33" s="342"/>
      <c r="L33" s="111"/>
      <c r="M33" s="111"/>
      <c r="N33" s="111"/>
      <c r="O33" s="111"/>
      <c r="P33" s="111"/>
      <c r="V33" s="10"/>
      <c r="W33" s="10"/>
      <c r="X33" s="10"/>
      <c r="Y33" s="10"/>
      <c r="Z33" s="10"/>
      <c r="AA33" s="10"/>
      <c r="AB33" s="10"/>
      <c r="AC33" s="10"/>
    </row>
    <row r="34" spans="1:29" ht="12.75">
      <c r="A34" s="47"/>
      <c r="B34" s="342"/>
      <c r="C34" s="342"/>
      <c r="D34" s="342"/>
      <c r="E34" s="342"/>
      <c r="F34" s="342"/>
      <c r="G34" s="342"/>
      <c r="H34" s="342"/>
      <c r="I34" s="342"/>
      <c r="J34" s="342"/>
      <c r="K34" s="342"/>
      <c r="L34" s="111"/>
      <c r="M34" s="111"/>
      <c r="N34" s="111"/>
      <c r="O34" s="111"/>
      <c r="P34" s="111"/>
      <c r="V34" s="10"/>
      <c r="W34" s="10"/>
      <c r="X34" s="10"/>
      <c r="Y34" s="10"/>
      <c r="Z34" s="10"/>
      <c r="AA34" s="10"/>
      <c r="AB34" s="10"/>
      <c r="AC34" s="10"/>
    </row>
    <row r="35" spans="1:29" ht="14.25">
      <c r="A35" s="119"/>
      <c r="B35" s="342"/>
      <c r="C35" s="342"/>
      <c r="D35" s="342"/>
      <c r="E35" s="342"/>
      <c r="F35" s="342"/>
      <c r="G35" s="342"/>
      <c r="H35" s="342"/>
      <c r="I35" s="342"/>
      <c r="J35" s="342"/>
      <c r="K35" s="342"/>
      <c r="R35" s="107"/>
      <c r="S35" s="107"/>
      <c r="T35" s="107"/>
      <c r="U35" s="107"/>
      <c r="Z35" s="10"/>
      <c r="AA35" s="10"/>
      <c r="AB35" s="10"/>
      <c r="AC35" s="10"/>
    </row>
    <row r="36" spans="1:29" ht="12.75">
      <c r="A36" s="47" t="s">
        <v>100</v>
      </c>
      <c r="B36" s="344" t="s">
        <v>275</v>
      </c>
      <c r="C36" s="344"/>
      <c r="D36" s="344"/>
      <c r="E36" s="344"/>
      <c r="F36" s="344"/>
      <c r="G36" s="344"/>
      <c r="H36" s="344"/>
      <c r="I36" s="344"/>
      <c r="J36" s="344"/>
      <c r="K36" s="344"/>
      <c r="R36" s="107"/>
      <c r="S36" s="107"/>
      <c r="T36" s="107"/>
      <c r="U36" s="107"/>
      <c r="Z36" s="10"/>
      <c r="AA36" s="10"/>
      <c r="AB36" s="10"/>
      <c r="AC36" s="10"/>
    </row>
    <row r="37" spans="1:29" ht="12.75">
      <c r="A37" s="47" t="s">
        <v>101</v>
      </c>
      <c r="B37" s="344" t="s">
        <v>186</v>
      </c>
      <c r="C37" s="344"/>
      <c r="D37" s="344"/>
      <c r="E37" s="344"/>
      <c r="F37" s="344"/>
      <c r="G37" s="344"/>
      <c r="H37" s="344"/>
      <c r="I37" s="344"/>
      <c r="J37" s="344"/>
      <c r="K37" s="344"/>
      <c r="R37" s="107"/>
      <c r="S37" s="107"/>
      <c r="T37" s="107"/>
      <c r="U37" s="107"/>
      <c r="Z37" s="10"/>
      <c r="AA37" s="10"/>
      <c r="AB37" s="10"/>
      <c r="AC37" s="10"/>
    </row>
    <row r="38" spans="1:29" ht="12.75">
      <c r="A38" s="47" t="s">
        <v>102</v>
      </c>
      <c r="B38" s="342" t="s">
        <v>276</v>
      </c>
      <c r="C38" s="342"/>
      <c r="D38" s="342"/>
      <c r="E38" s="342"/>
      <c r="F38" s="342"/>
      <c r="G38" s="342"/>
      <c r="H38" s="342"/>
      <c r="I38" s="342"/>
      <c r="J38" s="342"/>
      <c r="K38" s="342"/>
      <c r="R38" s="107"/>
      <c r="S38" s="107"/>
      <c r="T38" s="107"/>
      <c r="U38" s="107"/>
      <c r="Z38" s="10"/>
      <c r="AA38" s="10"/>
      <c r="AB38" s="10"/>
      <c r="AC38" s="10"/>
    </row>
    <row r="39" spans="1:29" ht="14.25">
      <c r="A39" s="119"/>
      <c r="B39" s="342"/>
      <c r="C39" s="342"/>
      <c r="D39" s="342"/>
      <c r="E39" s="342"/>
      <c r="F39" s="342"/>
      <c r="G39" s="342"/>
      <c r="H39" s="342"/>
      <c r="I39" s="342"/>
      <c r="J39" s="342"/>
      <c r="K39" s="342"/>
      <c r="R39" s="107"/>
      <c r="S39" s="107"/>
      <c r="T39" s="107"/>
      <c r="U39" s="107"/>
      <c r="Z39" s="10"/>
      <c r="AA39" s="10"/>
      <c r="AB39" s="10"/>
      <c r="AC39" s="10"/>
    </row>
    <row r="40" spans="1:29" ht="12.75">
      <c r="A40" s="47" t="s">
        <v>118</v>
      </c>
      <c r="B40" s="342" t="s">
        <v>281</v>
      </c>
      <c r="C40" s="342"/>
      <c r="D40" s="342"/>
      <c r="E40" s="342"/>
      <c r="F40" s="342"/>
      <c r="G40" s="342"/>
      <c r="H40" s="342"/>
      <c r="I40" s="342"/>
      <c r="J40" s="342"/>
      <c r="K40" s="342"/>
      <c r="R40" s="107"/>
      <c r="S40" s="107"/>
      <c r="T40" s="107"/>
      <c r="U40" s="107"/>
      <c r="Z40" s="10"/>
      <c r="AA40" s="10"/>
      <c r="AB40" s="10"/>
      <c r="AC40" s="10"/>
    </row>
    <row r="41" spans="1:29" ht="12.75">
      <c r="A41" s="47"/>
      <c r="B41" s="342"/>
      <c r="C41" s="342"/>
      <c r="D41" s="342"/>
      <c r="E41" s="342"/>
      <c r="F41" s="342"/>
      <c r="G41" s="342"/>
      <c r="H41" s="342"/>
      <c r="I41" s="342"/>
      <c r="J41" s="342"/>
      <c r="K41" s="342"/>
      <c r="R41" s="107"/>
      <c r="S41" s="107"/>
      <c r="T41" s="107"/>
      <c r="U41" s="107"/>
      <c r="Z41" s="10"/>
      <c r="AA41" s="10"/>
      <c r="AB41" s="10"/>
      <c r="AC41" s="10"/>
    </row>
    <row r="42" spans="1:11" ht="12.75">
      <c r="A42" s="14"/>
      <c r="C42" s="124"/>
      <c r="D42" s="124"/>
      <c r="E42" s="124"/>
      <c r="F42" s="124"/>
      <c r="G42" s="124"/>
      <c r="H42" s="124"/>
      <c r="I42" s="124"/>
      <c r="J42" s="124"/>
      <c r="K42" s="124"/>
    </row>
    <row r="47" ht="9.75" customHeight="1"/>
  </sheetData>
  <mergeCells count="6">
    <mergeCell ref="B40:K41"/>
    <mergeCell ref="C2:J2"/>
    <mergeCell ref="B33:K35"/>
    <mergeCell ref="B36:K36"/>
    <mergeCell ref="B37:K37"/>
    <mergeCell ref="B38:K39"/>
  </mergeCells>
  <printOptions/>
  <pageMargins left="0.7480314960629921" right="0.7480314960629921" top="0.984251968503937" bottom="0.984251968503937" header="0.5118110236220472" footer="0.5118110236220472"/>
  <pageSetup fitToHeight="1" fitToWidth="1" horizontalDpi="600" verticalDpi="600" orientation="portrait" paperSize="9" scale="67" r:id="rId1"/>
  <headerFooter alignWithMargins="0">
    <oddHeader>&amp;L&amp;"Vodafone Rg,Regular"Vodafone Group Plc&amp;C&amp;"Vodafone Rg,Regular"&amp;A</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L63"/>
  <sheetViews>
    <sheetView showGridLines="0" view="pageBreakPreview" zoomScaleSheetLayoutView="100" workbookViewId="0" topLeftCell="A1">
      <pane xSplit="2" ySplit="1" topLeftCell="C2" activePane="bottomRight" state="frozen"/>
      <selection pane="topLeft" activeCell="B55" sqref="B55:J61"/>
      <selection pane="topRight" activeCell="B55" sqref="B55:J61"/>
      <selection pane="bottomLeft" activeCell="B55" sqref="B55:J61"/>
      <selection pane="bottomRight" activeCell="A1" sqref="A1"/>
    </sheetView>
  </sheetViews>
  <sheetFormatPr defaultColWidth="9.140625" defaultRowHeight="12.75"/>
  <cols>
    <col min="1" max="1" width="3.7109375" style="41" customWidth="1"/>
    <col min="2" max="2" width="33.00390625" style="10" customWidth="1"/>
    <col min="3" max="3" width="10.57421875" style="90" bestFit="1" customWidth="1"/>
    <col min="4" max="7" width="10.57421875" style="90" customWidth="1"/>
    <col min="8" max="10" width="10.57421875" style="10" customWidth="1"/>
    <col min="11" max="16384" width="9.140625" style="10" customWidth="1"/>
  </cols>
  <sheetData>
    <row r="1" spans="1:12" ht="12.75">
      <c r="A1" s="14"/>
      <c r="C1" s="341"/>
      <c r="D1" s="341"/>
      <c r="E1" s="341"/>
      <c r="F1" s="341"/>
      <c r="G1" s="341"/>
      <c r="H1" s="341"/>
      <c r="I1" s="341"/>
      <c r="J1" s="341"/>
      <c r="L1" s="111"/>
    </row>
    <row r="2" spans="1:12" ht="12.75">
      <c r="A2" s="120"/>
      <c r="B2" s="92"/>
      <c r="C2" s="91" t="s">
        <v>107</v>
      </c>
      <c r="D2" s="91" t="s">
        <v>108</v>
      </c>
      <c r="E2" s="91" t="s">
        <v>109</v>
      </c>
      <c r="F2" s="91" t="s">
        <v>163</v>
      </c>
      <c r="G2" s="91" t="s">
        <v>164</v>
      </c>
      <c r="H2" s="91" t="s">
        <v>189</v>
      </c>
      <c r="I2" s="91" t="s">
        <v>195</v>
      </c>
      <c r="J2" s="91" t="s">
        <v>246</v>
      </c>
      <c r="K2" s="92"/>
      <c r="L2" s="110"/>
    </row>
    <row r="3" spans="1:12" ht="12.75">
      <c r="A3" s="41" t="s">
        <v>15</v>
      </c>
      <c r="C3" s="107"/>
      <c r="D3" s="107"/>
      <c r="E3" s="107"/>
      <c r="F3" s="107"/>
      <c r="G3" s="107"/>
      <c r="H3" s="107"/>
      <c r="I3" s="107"/>
      <c r="J3" s="107"/>
      <c r="L3" s="111"/>
    </row>
    <row r="4" spans="2:12" ht="12.75">
      <c r="B4" s="41" t="s">
        <v>266</v>
      </c>
      <c r="C4" s="125"/>
      <c r="D4" s="125"/>
      <c r="E4" s="125"/>
      <c r="F4" s="125"/>
      <c r="G4" s="125"/>
      <c r="H4" s="125"/>
      <c r="I4" s="125"/>
      <c r="J4" s="125"/>
      <c r="K4" s="9"/>
      <c r="L4" s="111"/>
    </row>
    <row r="5" spans="2:12" ht="12.75">
      <c r="B5" s="126" t="s">
        <v>120</v>
      </c>
      <c r="C5" s="130">
        <v>19.4</v>
      </c>
      <c r="D5" s="130">
        <v>17.9</v>
      </c>
      <c r="E5" s="130">
        <v>16.9</v>
      </c>
      <c r="F5" s="130">
        <v>17</v>
      </c>
      <c r="G5" s="130">
        <v>16.8</v>
      </c>
      <c r="H5" s="130">
        <v>16.2</v>
      </c>
      <c r="I5" s="130">
        <v>15.7</v>
      </c>
      <c r="J5" s="127">
        <v>15.5</v>
      </c>
      <c r="K5" s="14"/>
      <c r="L5" s="128"/>
    </row>
    <row r="6" spans="2:12" ht="12.75">
      <c r="B6" s="129" t="s">
        <v>121</v>
      </c>
      <c r="C6" s="130">
        <v>35.3</v>
      </c>
      <c r="D6" s="130">
        <v>33.1</v>
      </c>
      <c r="E6" s="130">
        <v>32</v>
      </c>
      <c r="F6" s="130">
        <v>32.4</v>
      </c>
      <c r="G6" s="130">
        <v>32.4</v>
      </c>
      <c r="H6" s="130">
        <v>31.2</v>
      </c>
      <c r="I6" s="130">
        <v>29.6</v>
      </c>
      <c r="J6" s="127">
        <v>28.8</v>
      </c>
      <c r="K6" s="9"/>
      <c r="L6" s="111"/>
    </row>
    <row r="7" spans="2:12" ht="12.75">
      <c r="B7" s="129" t="s">
        <v>122</v>
      </c>
      <c r="C7" s="130">
        <v>6.1</v>
      </c>
      <c r="D7" s="130">
        <v>5.5</v>
      </c>
      <c r="E7" s="130">
        <v>5</v>
      </c>
      <c r="F7" s="130">
        <v>4.8</v>
      </c>
      <c r="G7" s="130">
        <v>4.6</v>
      </c>
      <c r="H7" s="130">
        <v>4.4</v>
      </c>
      <c r="I7" s="130">
        <v>4.2</v>
      </c>
      <c r="J7" s="127">
        <v>4.3</v>
      </c>
      <c r="K7" s="9"/>
      <c r="L7" s="111"/>
    </row>
    <row r="8" spans="2:12" ht="12.75">
      <c r="B8" s="41" t="s">
        <v>123</v>
      </c>
      <c r="C8" s="125"/>
      <c r="D8" s="125"/>
      <c r="E8" s="125"/>
      <c r="F8" s="125"/>
      <c r="G8" s="125"/>
      <c r="H8" s="125"/>
      <c r="I8" s="125"/>
      <c r="J8" s="118"/>
      <c r="K8" s="9"/>
      <c r="L8" s="111"/>
    </row>
    <row r="9" spans="2:12" ht="12.75">
      <c r="B9" s="126" t="s">
        <v>120</v>
      </c>
      <c r="C9" s="130">
        <v>22.6</v>
      </c>
      <c r="D9" s="130">
        <v>21.6</v>
      </c>
      <c r="E9" s="130">
        <v>20.8</v>
      </c>
      <c r="F9" s="130">
        <v>21.3</v>
      </c>
      <c r="G9" s="130">
        <v>21.7</v>
      </c>
      <c r="H9" s="130">
        <v>21.5</v>
      </c>
      <c r="I9" s="130">
        <v>20.8</v>
      </c>
      <c r="J9" s="127">
        <v>22</v>
      </c>
      <c r="K9" s="14"/>
      <c r="L9" s="128"/>
    </row>
    <row r="10" spans="2:12" ht="12.75">
      <c r="B10" s="129" t="s">
        <v>121</v>
      </c>
      <c r="C10" s="130">
        <v>65.2</v>
      </c>
      <c r="D10" s="130">
        <v>65.4</v>
      </c>
      <c r="E10" s="130">
        <v>62.1</v>
      </c>
      <c r="F10" s="130">
        <v>60.6</v>
      </c>
      <c r="G10" s="130">
        <v>56.5</v>
      </c>
      <c r="H10" s="130">
        <v>56</v>
      </c>
      <c r="I10" s="130">
        <v>51.7</v>
      </c>
      <c r="J10" s="127">
        <v>50.9</v>
      </c>
      <c r="K10" s="9"/>
      <c r="L10" s="111"/>
    </row>
    <row r="11" spans="2:12" ht="12.75">
      <c r="B11" s="129" t="s">
        <v>122</v>
      </c>
      <c r="C11" s="130">
        <v>18.6</v>
      </c>
      <c r="D11" s="130">
        <v>17.2</v>
      </c>
      <c r="E11" s="130">
        <v>16.4</v>
      </c>
      <c r="F11" s="130">
        <v>16.8</v>
      </c>
      <c r="G11" s="130">
        <v>17.4</v>
      </c>
      <c r="H11" s="130">
        <v>17</v>
      </c>
      <c r="I11" s="130">
        <v>16.6</v>
      </c>
      <c r="J11" s="127">
        <v>17.9</v>
      </c>
      <c r="K11" s="9"/>
      <c r="L11" s="111"/>
    </row>
    <row r="12" spans="2:12" ht="12.75">
      <c r="B12" s="41" t="s">
        <v>124</v>
      </c>
      <c r="C12" s="125"/>
      <c r="D12" s="125"/>
      <c r="E12" s="125"/>
      <c r="F12" s="125"/>
      <c r="G12" s="125"/>
      <c r="H12" s="125"/>
      <c r="I12" s="125"/>
      <c r="J12" s="118"/>
      <c r="K12" s="9"/>
      <c r="L12" s="111"/>
    </row>
    <row r="13" spans="2:12" ht="12.75">
      <c r="B13" s="126" t="s">
        <v>120</v>
      </c>
      <c r="C13" s="130">
        <v>36.4</v>
      </c>
      <c r="D13" s="130">
        <v>34.1</v>
      </c>
      <c r="E13" s="130">
        <v>32.6</v>
      </c>
      <c r="F13" s="130">
        <v>32.6</v>
      </c>
      <c r="G13" s="130">
        <v>33.3</v>
      </c>
      <c r="H13" s="130">
        <v>30.3</v>
      </c>
      <c r="I13" s="130">
        <v>28</v>
      </c>
      <c r="J13" s="127">
        <v>28.3</v>
      </c>
      <c r="K13" s="14"/>
      <c r="L13" s="128"/>
    </row>
    <row r="14" spans="2:12" ht="12.75">
      <c r="B14" s="129" t="s">
        <v>121</v>
      </c>
      <c r="C14" s="130">
        <v>51.7</v>
      </c>
      <c r="D14" s="130">
        <v>48</v>
      </c>
      <c r="E14" s="130">
        <v>45.4</v>
      </c>
      <c r="F14" s="130">
        <v>45.4</v>
      </c>
      <c r="G14" s="130">
        <v>45.9</v>
      </c>
      <c r="H14" s="130">
        <v>41.7</v>
      </c>
      <c r="I14" s="130">
        <v>39</v>
      </c>
      <c r="J14" s="127">
        <v>39.9</v>
      </c>
      <c r="K14" s="9"/>
      <c r="L14" s="111"/>
    </row>
    <row r="15" spans="2:12" ht="12.75">
      <c r="B15" s="129" t="s">
        <v>122</v>
      </c>
      <c r="C15" s="130">
        <v>16.5</v>
      </c>
      <c r="D15" s="130">
        <v>15.5</v>
      </c>
      <c r="E15" s="130">
        <v>14.9</v>
      </c>
      <c r="F15" s="130">
        <v>14.4</v>
      </c>
      <c r="G15" s="130">
        <v>14.6</v>
      </c>
      <c r="H15" s="130">
        <v>13.2</v>
      </c>
      <c r="I15" s="130">
        <v>11.5</v>
      </c>
      <c r="J15" s="127">
        <v>11.2</v>
      </c>
      <c r="K15" s="9"/>
      <c r="L15" s="111"/>
    </row>
    <row r="16" spans="2:12" ht="12.75">
      <c r="B16" s="41" t="s">
        <v>125</v>
      </c>
      <c r="C16" s="125"/>
      <c r="D16" s="125"/>
      <c r="E16" s="125"/>
      <c r="F16" s="125"/>
      <c r="G16" s="125"/>
      <c r="H16" s="125"/>
      <c r="I16" s="125"/>
      <c r="J16" s="118"/>
      <c r="K16" s="9"/>
      <c r="L16" s="111"/>
    </row>
    <row r="17" spans="2:12" ht="12.75">
      <c r="B17" s="126" t="s">
        <v>120</v>
      </c>
      <c r="C17" s="130">
        <v>23.9</v>
      </c>
      <c r="D17" s="130">
        <v>22.5</v>
      </c>
      <c r="E17" s="130">
        <v>21.6</v>
      </c>
      <c r="F17" s="130">
        <v>22</v>
      </c>
      <c r="G17" s="130">
        <v>22</v>
      </c>
      <c r="H17" s="130">
        <v>21.5</v>
      </c>
      <c r="I17" s="130">
        <v>20.8</v>
      </c>
      <c r="J17" s="127">
        <v>20.8</v>
      </c>
      <c r="K17" s="14"/>
      <c r="L17" s="128"/>
    </row>
    <row r="18" spans="2:12" ht="12.75">
      <c r="B18" s="129" t="s">
        <v>121</v>
      </c>
      <c r="C18" s="130">
        <v>45.8</v>
      </c>
      <c r="D18" s="130">
        <v>42.2</v>
      </c>
      <c r="E18" s="130">
        <v>41.2</v>
      </c>
      <c r="F18" s="130">
        <v>41.2</v>
      </c>
      <c r="G18" s="130">
        <v>40.5</v>
      </c>
      <c r="H18" s="130">
        <v>39.2</v>
      </c>
      <c r="I18" s="130">
        <v>37.9</v>
      </c>
      <c r="J18" s="127">
        <v>38.4</v>
      </c>
      <c r="K18" s="9"/>
      <c r="L18" s="111"/>
    </row>
    <row r="19" spans="2:12" ht="12.75">
      <c r="B19" s="129" t="s">
        <v>122</v>
      </c>
      <c r="C19" s="130">
        <v>9</v>
      </c>
      <c r="D19" s="130">
        <v>9</v>
      </c>
      <c r="E19" s="130">
        <v>8.4</v>
      </c>
      <c r="F19" s="130">
        <v>8.6</v>
      </c>
      <c r="G19" s="130">
        <v>8.8</v>
      </c>
      <c r="H19" s="130">
        <v>8.5</v>
      </c>
      <c r="I19" s="130">
        <v>8.2</v>
      </c>
      <c r="J19" s="127">
        <v>7.6</v>
      </c>
      <c r="K19" s="9"/>
      <c r="L19" s="111"/>
    </row>
    <row r="20" spans="2:12" ht="12.75">
      <c r="B20" s="41" t="s">
        <v>126</v>
      </c>
      <c r="C20" s="125"/>
      <c r="D20" s="125"/>
      <c r="E20" s="125"/>
      <c r="F20" s="125"/>
      <c r="G20" s="125"/>
      <c r="H20" s="125"/>
      <c r="I20" s="125"/>
      <c r="J20" s="127"/>
      <c r="K20" s="9"/>
      <c r="L20" s="111"/>
    </row>
    <row r="21" spans="2:12" ht="12.75">
      <c r="B21" s="126" t="s">
        <v>120</v>
      </c>
      <c r="C21" s="130">
        <v>26.1</v>
      </c>
      <c r="D21" s="130">
        <v>22.7</v>
      </c>
      <c r="E21" s="130">
        <v>21.5</v>
      </c>
      <c r="F21" s="130">
        <v>22</v>
      </c>
      <c r="G21" s="130">
        <v>22.7</v>
      </c>
      <c r="H21" s="130">
        <v>19.8</v>
      </c>
      <c r="I21" s="130">
        <v>16.7</v>
      </c>
      <c r="J21" s="127">
        <v>17.110147694375232</v>
      </c>
      <c r="K21" s="14"/>
      <c r="L21" s="128"/>
    </row>
    <row r="22" spans="2:12" ht="12.75">
      <c r="B22" s="129" t="s">
        <v>121</v>
      </c>
      <c r="C22" s="130">
        <v>62</v>
      </c>
      <c r="D22" s="130">
        <v>53.4</v>
      </c>
      <c r="E22" s="130">
        <v>49.7</v>
      </c>
      <c r="F22" s="130">
        <v>51.2</v>
      </c>
      <c r="G22" s="130">
        <v>52.9</v>
      </c>
      <c r="H22" s="130">
        <v>47.3</v>
      </c>
      <c r="I22" s="130">
        <v>42.1</v>
      </c>
      <c r="J22" s="127">
        <v>45.907052252821195</v>
      </c>
      <c r="K22" s="9"/>
      <c r="L22" s="111"/>
    </row>
    <row r="23" spans="2:12" ht="12.75">
      <c r="B23" s="129" t="s">
        <v>122</v>
      </c>
      <c r="C23" s="130">
        <v>10.4</v>
      </c>
      <c r="D23" s="130">
        <v>8.9</v>
      </c>
      <c r="E23" s="130">
        <v>8.4</v>
      </c>
      <c r="F23" s="130">
        <v>8.4</v>
      </c>
      <c r="G23" s="130">
        <v>8.6</v>
      </c>
      <c r="H23" s="130">
        <v>7.3</v>
      </c>
      <c r="I23" s="130">
        <v>5.6</v>
      </c>
      <c r="J23" s="127">
        <v>5.4921016004232035</v>
      </c>
      <c r="K23" s="9"/>
      <c r="L23" s="111"/>
    </row>
    <row r="24" spans="2:10" ht="12.75">
      <c r="B24" s="41" t="s">
        <v>127</v>
      </c>
      <c r="C24" s="125"/>
      <c r="D24" s="125"/>
      <c r="E24" s="125"/>
      <c r="F24" s="125"/>
      <c r="G24" s="125"/>
      <c r="H24" s="125"/>
      <c r="I24" s="125"/>
      <c r="J24" s="127"/>
    </row>
    <row r="25" spans="2:12" ht="12.75">
      <c r="B25" s="126" t="s">
        <v>120</v>
      </c>
      <c r="C25" s="130">
        <v>38.5</v>
      </c>
      <c r="D25" s="130">
        <v>35.9</v>
      </c>
      <c r="E25" s="130">
        <v>35.4</v>
      </c>
      <c r="F25" s="130">
        <v>36.9</v>
      </c>
      <c r="G25" s="130">
        <v>35.6</v>
      </c>
      <c r="H25" s="130">
        <v>35.3</v>
      </c>
      <c r="I25" s="130">
        <v>33.7</v>
      </c>
      <c r="J25" s="127">
        <v>34.38671627553355</v>
      </c>
      <c r="K25" s="41"/>
      <c r="L25" s="41"/>
    </row>
    <row r="26" spans="2:10" ht="12.75">
      <c r="B26" s="129" t="s">
        <v>121</v>
      </c>
      <c r="C26" s="130">
        <v>59.6</v>
      </c>
      <c r="D26" s="130">
        <v>55.8</v>
      </c>
      <c r="E26" s="130">
        <v>55</v>
      </c>
      <c r="F26" s="130">
        <v>57.3</v>
      </c>
      <c r="G26" s="130">
        <v>55.1</v>
      </c>
      <c r="H26" s="130">
        <v>54.4</v>
      </c>
      <c r="I26" s="130">
        <v>51.4</v>
      </c>
      <c r="J26" s="127">
        <v>51.927601752560356</v>
      </c>
    </row>
    <row r="27" spans="2:10" ht="12.75">
      <c r="B27" s="129" t="s">
        <v>122</v>
      </c>
      <c r="C27" s="130">
        <v>10.8</v>
      </c>
      <c r="D27" s="130">
        <v>9.4</v>
      </c>
      <c r="E27" s="130">
        <v>9.4</v>
      </c>
      <c r="F27" s="130">
        <v>9.4</v>
      </c>
      <c r="G27" s="130">
        <v>9.3</v>
      </c>
      <c r="H27" s="130">
        <v>8.7</v>
      </c>
      <c r="I27" s="130">
        <v>8.3</v>
      </c>
      <c r="J27" s="127">
        <v>8.969736764774431</v>
      </c>
    </row>
    <row r="28" spans="2:10" ht="12.75">
      <c r="B28" s="41" t="s">
        <v>128</v>
      </c>
      <c r="C28" s="125"/>
      <c r="D28" s="125"/>
      <c r="E28" s="125"/>
      <c r="F28" s="125"/>
      <c r="G28" s="125"/>
      <c r="H28" s="125"/>
      <c r="I28" s="125"/>
      <c r="J28" s="127"/>
    </row>
    <row r="29" spans="2:12" ht="12.75">
      <c r="B29" s="126" t="s">
        <v>120</v>
      </c>
      <c r="C29" s="130">
        <v>23.4</v>
      </c>
      <c r="D29" s="130">
        <v>22.1</v>
      </c>
      <c r="E29" s="130">
        <v>21.2</v>
      </c>
      <c r="F29" s="130">
        <v>21.4</v>
      </c>
      <c r="G29" s="130">
        <v>21.6</v>
      </c>
      <c r="H29" s="130">
        <v>18.8</v>
      </c>
      <c r="I29" s="130">
        <v>18.2</v>
      </c>
      <c r="J29" s="127">
        <v>18.12125905213604</v>
      </c>
      <c r="K29" s="41"/>
      <c r="L29" s="41"/>
    </row>
    <row r="30" spans="2:10" ht="12.75">
      <c r="B30" s="129" t="s">
        <v>121</v>
      </c>
      <c r="C30" s="130">
        <v>59</v>
      </c>
      <c r="D30" s="130">
        <v>54.2</v>
      </c>
      <c r="E30" s="130">
        <v>50.9</v>
      </c>
      <c r="F30" s="130">
        <v>51.5</v>
      </c>
      <c r="G30" s="130">
        <v>51.4</v>
      </c>
      <c r="H30" s="130">
        <v>45.7</v>
      </c>
      <c r="I30" s="130">
        <v>43.3</v>
      </c>
      <c r="J30" s="127">
        <v>45.46782367444756</v>
      </c>
    </row>
    <row r="31" spans="2:10" ht="12.75">
      <c r="B31" s="129" t="s">
        <v>122</v>
      </c>
      <c r="C31" s="130">
        <v>14</v>
      </c>
      <c r="D31" s="130">
        <v>13.4</v>
      </c>
      <c r="E31" s="130">
        <v>13</v>
      </c>
      <c r="F31" s="130">
        <v>12.9</v>
      </c>
      <c r="G31" s="130">
        <v>13.2</v>
      </c>
      <c r="H31" s="130">
        <v>11.3</v>
      </c>
      <c r="I31" s="130">
        <v>11.3</v>
      </c>
      <c r="J31" s="127">
        <v>10.748190709185234</v>
      </c>
    </row>
    <row r="32" spans="2:10" ht="12.75">
      <c r="B32" s="129"/>
      <c r="C32" s="130"/>
      <c r="D32" s="130"/>
      <c r="E32" s="130"/>
      <c r="F32" s="130"/>
      <c r="G32" s="130"/>
      <c r="H32" s="130"/>
      <c r="I32" s="130"/>
      <c r="J32" s="127"/>
    </row>
    <row r="33" spans="1:10" ht="12.75">
      <c r="A33" s="41" t="s">
        <v>214</v>
      </c>
      <c r="B33" s="41"/>
      <c r="C33" s="125"/>
      <c r="D33" s="125"/>
      <c r="E33" s="125"/>
      <c r="F33" s="125"/>
      <c r="G33" s="125"/>
      <c r="H33" s="125"/>
      <c r="I33" s="125"/>
      <c r="J33" s="118"/>
    </row>
    <row r="34" spans="1:10" ht="12.75">
      <c r="A34" s="14"/>
      <c r="B34" s="41" t="s">
        <v>245</v>
      </c>
      <c r="C34" s="130"/>
      <c r="D34" s="130"/>
      <c r="E34" s="130"/>
      <c r="F34" s="130"/>
      <c r="G34" s="130"/>
      <c r="H34" s="130"/>
      <c r="I34" s="130"/>
      <c r="J34" s="127"/>
    </row>
    <row r="35" spans="1:10" ht="12.75">
      <c r="A35" s="14"/>
      <c r="B35" s="126" t="s">
        <v>120</v>
      </c>
      <c r="C35" s="130">
        <v>99.4</v>
      </c>
      <c r="D35" s="130">
        <v>109.2</v>
      </c>
      <c r="E35" s="130">
        <v>102.9</v>
      </c>
      <c r="F35" s="130">
        <v>103.5</v>
      </c>
      <c r="G35" s="130">
        <v>106.4</v>
      </c>
      <c r="H35" s="130">
        <v>111</v>
      </c>
      <c r="I35" s="130">
        <v>99</v>
      </c>
      <c r="J35" s="127">
        <v>91.54002478709845</v>
      </c>
    </row>
    <row r="36" spans="1:10" ht="12.75">
      <c r="A36" s="14"/>
      <c r="B36" s="129" t="s">
        <v>121</v>
      </c>
      <c r="C36" s="130">
        <v>319.7</v>
      </c>
      <c r="D36" s="130">
        <v>451.2</v>
      </c>
      <c r="E36" s="130">
        <v>452.9</v>
      </c>
      <c r="F36" s="130">
        <v>445.2</v>
      </c>
      <c r="G36" s="130">
        <v>446.7</v>
      </c>
      <c r="H36" s="130">
        <v>440.4</v>
      </c>
      <c r="I36" s="130">
        <v>423</v>
      </c>
      <c r="J36" s="127">
        <v>407.20560145454675</v>
      </c>
    </row>
    <row r="37" spans="1:10" ht="12.75">
      <c r="A37" s="14"/>
      <c r="B37" s="129" t="s">
        <v>122</v>
      </c>
      <c r="C37" s="130">
        <v>66</v>
      </c>
      <c r="D37" s="130">
        <v>60.3</v>
      </c>
      <c r="E37" s="130">
        <v>56.8</v>
      </c>
      <c r="F37" s="130">
        <v>56.7</v>
      </c>
      <c r="G37" s="130">
        <v>59.1</v>
      </c>
      <c r="H37" s="130">
        <v>65.1</v>
      </c>
      <c r="I37" s="130">
        <v>55.6</v>
      </c>
      <c r="J37" s="127">
        <v>52.038031713138665</v>
      </c>
    </row>
    <row r="38" spans="2:10" ht="15.75">
      <c r="B38" s="41" t="s">
        <v>267</v>
      </c>
      <c r="C38" s="125"/>
      <c r="D38" s="125"/>
      <c r="E38" s="125"/>
      <c r="F38" s="125"/>
      <c r="G38" s="125"/>
      <c r="H38" s="125"/>
      <c r="I38" s="125"/>
      <c r="J38" s="118"/>
    </row>
    <row r="39" spans="2:12" ht="12.75">
      <c r="B39" s="126" t="s">
        <v>120</v>
      </c>
      <c r="C39" s="130">
        <v>10.9</v>
      </c>
      <c r="D39" s="130">
        <v>10.8</v>
      </c>
      <c r="E39" s="130">
        <v>9.7</v>
      </c>
      <c r="F39" s="130">
        <v>10.3</v>
      </c>
      <c r="G39" s="130">
        <v>10.4</v>
      </c>
      <c r="H39" s="130">
        <v>9.9</v>
      </c>
      <c r="I39" s="130">
        <v>8</v>
      </c>
      <c r="J39" s="127">
        <v>8.126190078846001</v>
      </c>
      <c r="K39" s="41"/>
      <c r="L39" s="41"/>
    </row>
    <row r="40" spans="2:10" ht="12.75">
      <c r="B40" s="129" t="s">
        <v>121</v>
      </c>
      <c r="C40" s="130">
        <v>22.4</v>
      </c>
      <c r="D40" s="130">
        <v>22.3</v>
      </c>
      <c r="E40" s="130">
        <v>19.6</v>
      </c>
      <c r="F40" s="130">
        <v>21.2</v>
      </c>
      <c r="G40" s="130">
        <v>21.2</v>
      </c>
      <c r="H40" s="130">
        <v>20.1</v>
      </c>
      <c r="I40" s="130">
        <v>16.1</v>
      </c>
      <c r="J40" s="127">
        <v>15.846682376489877</v>
      </c>
    </row>
    <row r="41" spans="2:10" ht="12.75">
      <c r="B41" s="129" t="s">
        <v>122</v>
      </c>
      <c r="C41" s="130">
        <v>4.6</v>
      </c>
      <c r="D41" s="130">
        <v>4.5</v>
      </c>
      <c r="E41" s="130">
        <v>4</v>
      </c>
      <c r="F41" s="130">
        <v>3.8</v>
      </c>
      <c r="G41" s="130">
        <v>3.9</v>
      </c>
      <c r="H41" s="130">
        <v>3.5</v>
      </c>
      <c r="I41" s="130">
        <v>2.6</v>
      </c>
      <c r="J41" s="127">
        <v>2.648552168553951</v>
      </c>
    </row>
    <row r="42" spans="2:10" ht="12.75">
      <c r="B42" s="41" t="s">
        <v>130</v>
      </c>
      <c r="C42" s="125"/>
      <c r="D42" s="125"/>
      <c r="E42" s="125"/>
      <c r="F42" s="125"/>
      <c r="G42" s="125"/>
      <c r="H42" s="125"/>
      <c r="I42" s="125"/>
      <c r="J42" s="118"/>
    </row>
    <row r="43" spans="2:12" ht="12.75">
      <c r="B43" s="126" t="s">
        <v>120</v>
      </c>
      <c r="C43" s="130">
        <v>16.3</v>
      </c>
      <c r="D43" s="130">
        <v>14.6</v>
      </c>
      <c r="E43" s="130">
        <v>13.2</v>
      </c>
      <c r="F43" s="130">
        <v>13.6</v>
      </c>
      <c r="G43" s="130">
        <v>14.2</v>
      </c>
      <c r="H43" s="130">
        <v>11.6</v>
      </c>
      <c r="I43" s="130">
        <v>11.1</v>
      </c>
      <c r="J43" s="127">
        <v>13.709942805102125</v>
      </c>
      <c r="K43" s="41"/>
      <c r="L43" s="41"/>
    </row>
    <row r="44" spans="1:10" ht="12.75">
      <c r="A44" s="14"/>
      <c r="B44" s="129" t="s">
        <v>121</v>
      </c>
      <c r="C44" s="130">
        <v>29.8</v>
      </c>
      <c r="D44" s="130">
        <v>28.7</v>
      </c>
      <c r="E44" s="130">
        <v>27.4</v>
      </c>
      <c r="F44" s="130">
        <v>27.3</v>
      </c>
      <c r="G44" s="130">
        <v>28.6</v>
      </c>
      <c r="H44" s="130">
        <v>26.1</v>
      </c>
      <c r="I44" s="130">
        <v>24.8</v>
      </c>
      <c r="J44" s="127">
        <v>30.325878314772826</v>
      </c>
    </row>
    <row r="45" spans="1:10" ht="12.75">
      <c r="A45" s="14"/>
      <c r="B45" s="129" t="s">
        <v>122</v>
      </c>
      <c r="C45" s="130">
        <v>14.7</v>
      </c>
      <c r="D45" s="130">
        <v>12.9</v>
      </c>
      <c r="E45" s="130">
        <v>11.4</v>
      </c>
      <c r="F45" s="130">
        <v>11.8</v>
      </c>
      <c r="G45" s="130">
        <v>12.3</v>
      </c>
      <c r="H45" s="130">
        <v>9.8</v>
      </c>
      <c r="I45" s="130">
        <v>9.1</v>
      </c>
      <c r="J45" s="127">
        <v>11.126243674603224</v>
      </c>
    </row>
    <row r="46" spans="1:10" ht="12.75">
      <c r="A46" s="14"/>
      <c r="B46" s="129"/>
      <c r="C46" s="130"/>
      <c r="D46" s="130"/>
      <c r="E46" s="130"/>
      <c r="F46" s="130"/>
      <c r="G46" s="130"/>
      <c r="H46" s="130"/>
      <c r="I46" s="130"/>
      <c r="J46" s="127"/>
    </row>
    <row r="47" spans="1:10" ht="12.75">
      <c r="A47" s="41" t="s">
        <v>215</v>
      </c>
      <c r="B47" s="129"/>
      <c r="C47" s="130"/>
      <c r="D47" s="130"/>
      <c r="E47" s="130"/>
      <c r="F47" s="130"/>
      <c r="G47" s="130"/>
      <c r="H47" s="130"/>
      <c r="I47" s="130"/>
      <c r="J47" s="127"/>
    </row>
    <row r="48" spans="2:10" ht="15.75">
      <c r="B48" s="41" t="s">
        <v>268</v>
      </c>
      <c r="C48" s="125"/>
      <c r="D48" s="125"/>
      <c r="E48" s="125"/>
      <c r="F48" s="125"/>
      <c r="G48" s="125"/>
      <c r="H48" s="125"/>
      <c r="I48" s="125"/>
      <c r="J48" s="118"/>
    </row>
    <row r="49" spans="2:12" ht="12.75">
      <c r="B49" s="126" t="s">
        <v>120</v>
      </c>
      <c r="C49" s="132">
        <v>361</v>
      </c>
      <c r="D49" s="132">
        <v>349</v>
      </c>
      <c r="E49" s="132">
        <v>350</v>
      </c>
      <c r="F49" s="132">
        <v>332</v>
      </c>
      <c r="G49" s="133">
        <v>305</v>
      </c>
      <c r="H49" s="133">
        <v>297</v>
      </c>
      <c r="I49" s="133">
        <v>274</v>
      </c>
      <c r="J49" s="131">
        <v>246.58236997902964</v>
      </c>
      <c r="K49" s="41"/>
      <c r="L49" s="41"/>
    </row>
    <row r="50" spans="2:10" ht="12.75">
      <c r="B50" s="129" t="s">
        <v>121</v>
      </c>
      <c r="C50" s="132">
        <v>886</v>
      </c>
      <c r="D50" s="132">
        <v>899</v>
      </c>
      <c r="E50" s="132">
        <v>910</v>
      </c>
      <c r="F50" s="132">
        <v>904</v>
      </c>
      <c r="G50" s="133">
        <v>871</v>
      </c>
      <c r="H50" s="133">
        <v>850</v>
      </c>
      <c r="I50" s="133">
        <v>815</v>
      </c>
      <c r="J50" s="131">
        <v>807.2258574781188</v>
      </c>
    </row>
    <row r="51" spans="2:10" ht="12.75">
      <c r="B51" s="129" t="s">
        <v>122</v>
      </c>
      <c r="C51" s="132">
        <v>291</v>
      </c>
      <c r="D51" s="132">
        <v>283</v>
      </c>
      <c r="E51" s="132">
        <v>287</v>
      </c>
      <c r="F51" s="132">
        <v>272</v>
      </c>
      <c r="G51" s="133">
        <v>250</v>
      </c>
      <c r="H51" s="133">
        <v>245</v>
      </c>
      <c r="I51" s="133">
        <v>229</v>
      </c>
      <c r="J51" s="131">
        <v>203.92379244431388</v>
      </c>
    </row>
    <row r="52" spans="2:10" ht="12.75">
      <c r="B52" s="41" t="s">
        <v>129</v>
      </c>
      <c r="C52" s="125"/>
      <c r="D52" s="125"/>
      <c r="E52" s="125"/>
      <c r="F52" s="125"/>
      <c r="G52" s="125"/>
      <c r="H52" s="125"/>
      <c r="I52" s="125"/>
      <c r="J52" s="118"/>
    </row>
    <row r="53" spans="2:12" ht="12.75">
      <c r="B53" s="126" t="s">
        <v>120</v>
      </c>
      <c r="C53" s="130">
        <v>71</v>
      </c>
      <c r="D53" s="130">
        <v>66.2</v>
      </c>
      <c r="E53" s="130">
        <v>63.2</v>
      </c>
      <c r="F53" s="130">
        <v>62.1</v>
      </c>
      <c r="G53" s="130">
        <v>61.5</v>
      </c>
      <c r="H53" s="130">
        <v>55.7</v>
      </c>
      <c r="I53" s="130">
        <v>49.4</v>
      </c>
      <c r="J53" s="127">
        <v>47.5662907820985</v>
      </c>
      <c r="K53" s="41"/>
      <c r="L53" s="41"/>
    </row>
    <row r="54" spans="2:10" ht="12.75">
      <c r="B54" s="129" t="s">
        <v>121</v>
      </c>
      <c r="C54" s="130">
        <v>304.5</v>
      </c>
      <c r="D54" s="130">
        <v>281.2</v>
      </c>
      <c r="E54" s="130">
        <v>286.7</v>
      </c>
      <c r="F54" s="130">
        <v>293.5</v>
      </c>
      <c r="G54" s="130">
        <v>292.9</v>
      </c>
      <c r="H54" s="130">
        <v>254.3</v>
      </c>
      <c r="I54" s="130">
        <v>242.7</v>
      </c>
      <c r="J54" s="127">
        <v>232.02647233367784</v>
      </c>
    </row>
    <row r="55" spans="2:10" ht="12.75">
      <c r="B55" s="129" t="s">
        <v>122</v>
      </c>
      <c r="C55" s="130">
        <v>58.2</v>
      </c>
      <c r="D55" s="130">
        <v>55.6</v>
      </c>
      <c r="E55" s="130">
        <v>52.6</v>
      </c>
      <c r="F55" s="130">
        <v>51.4</v>
      </c>
      <c r="G55" s="130">
        <v>51.3</v>
      </c>
      <c r="H55" s="130">
        <v>47.2</v>
      </c>
      <c r="I55" s="130">
        <v>41.2</v>
      </c>
      <c r="J55" s="127">
        <v>39.64948098883775</v>
      </c>
    </row>
    <row r="56" spans="1:10" ht="12.75">
      <c r="A56" s="14"/>
      <c r="B56" s="129"/>
      <c r="C56" s="130"/>
      <c r="D56" s="130"/>
      <c r="E56" s="130"/>
      <c r="F56" s="130"/>
      <c r="G56" s="130"/>
      <c r="H56" s="130"/>
      <c r="I56" s="130"/>
      <c r="J56" s="130"/>
    </row>
    <row r="57" spans="1:10" ht="12.75">
      <c r="A57" s="14"/>
      <c r="B57" s="129"/>
      <c r="C57" s="130"/>
      <c r="D57" s="130"/>
      <c r="E57" s="130"/>
      <c r="F57" s="130"/>
      <c r="G57" s="130"/>
      <c r="H57" s="130"/>
      <c r="I57" s="130"/>
      <c r="J57" s="130"/>
    </row>
    <row r="58" spans="1:10" ht="12.75">
      <c r="A58" s="14"/>
      <c r="B58" s="129"/>
      <c r="C58" s="130"/>
      <c r="D58" s="130"/>
      <c r="E58" s="130"/>
      <c r="F58" s="130"/>
      <c r="G58" s="130"/>
      <c r="H58" s="130"/>
      <c r="I58" s="130"/>
      <c r="J58" s="130"/>
    </row>
    <row r="59" spans="1:10" ht="12.75">
      <c r="A59" s="14"/>
      <c r="C59" s="124"/>
      <c r="D59" s="124"/>
      <c r="E59" s="124"/>
      <c r="F59" s="124"/>
      <c r="G59" s="124"/>
      <c r="H59" s="124"/>
      <c r="I59" s="124"/>
      <c r="J59" s="124"/>
    </row>
    <row r="60" spans="1:10" ht="12.75">
      <c r="A60" s="9" t="s">
        <v>96</v>
      </c>
      <c r="C60" s="124"/>
      <c r="D60" s="124"/>
      <c r="E60" s="124"/>
      <c r="F60" s="124"/>
      <c r="G60" s="124"/>
      <c r="H60" s="124"/>
      <c r="I60" s="124"/>
      <c r="J60" s="124"/>
    </row>
    <row r="61" spans="1:12" ht="12.75">
      <c r="A61" s="47" t="s">
        <v>99</v>
      </c>
      <c r="B61" s="342" t="s">
        <v>282</v>
      </c>
      <c r="C61" s="342"/>
      <c r="D61" s="342"/>
      <c r="E61" s="342"/>
      <c r="F61" s="342"/>
      <c r="G61" s="342"/>
      <c r="H61" s="342"/>
      <c r="I61" s="342"/>
      <c r="J61" s="342"/>
      <c r="K61" s="342"/>
      <c r="L61" s="342"/>
    </row>
    <row r="62" spans="1:12" ht="12.75">
      <c r="A62" s="14"/>
      <c r="B62" s="342"/>
      <c r="C62" s="342"/>
      <c r="D62" s="342"/>
      <c r="E62" s="342"/>
      <c r="F62" s="342"/>
      <c r="G62" s="342"/>
      <c r="H62" s="342"/>
      <c r="I62" s="342"/>
      <c r="J62" s="342"/>
      <c r="K62" s="342"/>
      <c r="L62" s="342"/>
    </row>
    <row r="63" spans="1:12" ht="12.75">
      <c r="A63" s="47" t="s">
        <v>100</v>
      </c>
      <c r="B63" s="344" t="s">
        <v>277</v>
      </c>
      <c r="C63" s="344"/>
      <c r="D63" s="344"/>
      <c r="E63" s="344"/>
      <c r="F63" s="344"/>
      <c r="G63" s="344"/>
      <c r="H63" s="344"/>
      <c r="I63" s="344"/>
      <c r="J63" s="344"/>
      <c r="K63" s="344"/>
      <c r="L63" s="344"/>
    </row>
  </sheetData>
  <mergeCells count="3">
    <mergeCell ref="B61:L62"/>
    <mergeCell ref="B63:L63"/>
    <mergeCell ref="C1:J1"/>
  </mergeCells>
  <printOptions/>
  <pageMargins left="0.7480314960629921" right="0.7480314960629921" top="0.984251968503937" bottom="0.984251968503937" header="0.5118110236220472" footer="0.5118110236220472"/>
  <pageSetup fitToHeight="1" fitToWidth="1" horizontalDpi="600" verticalDpi="600" orientation="portrait" paperSize="9" scale="63" r:id="rId1"/>
  <headerFooter alignWithMargins="0">
    <oddHeader>&amp;L&amp;"Vodafone Rg,Regular"Vodafone Group Plc&amp;C&amp;"Vodafone Rg,Regular"&amp;A</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B36"/>
  <sheetViews>
    <sheetView showGridLines="0" view="pageBreakPreview" zoomScaleSheetLayoutView="100" workbookViewId="0" topLeftCell="A1">
      <selection activeCell="A1" sqref="A1"/>
    </sheetView>
  </sheetViews>
  <sheetFormatPr defaultColWidth="9.140625" defaultRowHeight="12.75"/>
  <cols>
    <col min="1" max="1" width="28.8515625" style="135" customWidth="1"/>
    <col min="2" max="2" width="98.140625" style="135" customWidth="1"/>
    <col min="3" max="16384" width="9.140625" style="135" customWidth="1"/>
  </cols>
  <sheetData>
    <row r="1" ht="12.75">
      <c r="A1" s="140" t="s">
        <v>243</v>
      </c>
    </row>
    <row r="3" spans="1:2" ht="12.75">
      <c r="A3" s="136" t="s">
        <v>132</v>
      </c>
      <c r="B3" s="136" t="s">
        <v>133</v>
      </c>
    </row>
    <row r="4" spans="1:2" ht="12.75">
      <c r="A4" s="136"/>
      <c r="B4" s="136"/>
    </row>
    <row r="5" spans="1:2" ht="25.5">
      <c r="A5" s="136" t="s">
        <v>29</v>
      </c>
      <c r="B5" s="136" t="s">
        <v>134</v>
      </c>
    </row>
    <row r="6" spans="1:2" ht="12.75">
      <c r="A6" s="136"/>
      <c r="B6" s="136"/>
    </row>
    <row r="7" spans="1:2" ht="12.75">
      <c r="A7" s="136" t="s">
        <v>26</v>
      </c>
      <c r="B7" s="136" t="s">
        <v>135</v>
      </c>
    </row>
    <row r="8" spans="1:2" ht="12.75">
      <c r="A8" s="136"/>
      <c r="B8" s="136"/>
    </row>
    <row r="9" spans="1:2" s="138" customFormat="1" ht="25.5">
      <c r="A9" s="137" t="s">
        <v>119</v>
      </c>
      <c r="B9" s="137" t="s">
        <v>211</v>
      </c>
    </row>
    <row r="10" spans="1:2" s="138" customFormat="1" ht="12.75">
      <c r="A10" s="137"/>
      <c r="B10" s="137"/>
    </row>
    <row r="11" spans="1:2" ht="12.75">
      <c r="A11" s="136" t="s">
        <v>219</v>
      </c>
      <c r="B11" s="136" t="s">
        <v>136</v>
      </c>
    </row>
    <row r="12" spans="1:2" ht="12.75">
      <c r="A12" s="136"/>
      <c r="B12" s="136"/>
    </row>
    <row r="13" spans="1:2" ht="12.75">
      <c r="A13" s="136" t="s">
        <v>137</v>
      </c>
      <c r="B13" s="136" t="s">
        <v>138</v>
      </c>
    </row>
    <row r="14" spans="1:2" ht="12.75">
      <c r="A14" s="136"/>
      <c r="B14" s="136"/>
    </row>
    <row r="15" spans="1:2" ht="12.75">
      <c r="A15" s="136"/>
      <c r="B15" s="136"/>
    </row>
    <row r="16" spans="1:2" s="138" customFormat="1" ht="25.5">
      <c r="A16" s="137" t="s">
        <v>139</v>
      </c>
      <c r="B16" s="137" t="s">
        <v>140</v>
      </c>
    </row>
    <row r="17" spans="1:2" ht="12.75">
      <c r="A17" s="136"/>
      <c r="B17" s="136"/>
    </row>
    <row r="18" spans="1:2" ht="25.5">
      <c r="A18" s="136" t="s">
        <v>31</v>
      </c>
      <c r="B18" s="136" t="s">
        <v>141</v>
      </c>
    </row>
    <row r="19" spans="1:2" ht="12.75">
      <c r="A19" s="136"/>
      <c r="B19" s="136"/>
    </row>
    <row r="20" spans="1:2" s="138" customFormat="1" ht="25.5">
      <c r="A20" s="137" t="s">
        <v>25</v>
      </c>
      <c r="B20" s="137" t="s">
        <v>142</v>
      </c>
    </row>
    <row r="21" spans="1:2" ht="12.75">
      <c r="A21" s="136"/>
      <c r="B21" s="136"/>
    </row>
    <row r="22" spans="1:2" ht="63.75">
      <c r="A22" s="136" t="s">
        <v>148</v>
      </c>
      <c r="B22" s="136" t="s">
        <v>220</v>
      </c>
    </row>
    <row r="23" spans="1:2" ht="12.75">
      <c r="A23" s="136"/>
      <c r="B23" s="136"/>
    </row>
    <row r="24" spans="1:2" ht="25.5">
      <c r="A24" s="136" t="s">
        <v>143</v>
      </c>
      <c r="B24" s="136" t="s">
        <v>221</v>
      </c>
    </row>
    <row r="25" spans="1:2" ht="12.75">
      <c r="A25" s="136"/>
      <c r="B25" s="136"/>
    </row>
    <row r="26" spans="1:2" ht="25.5">
      <c r="A26" s="136" t="s">
        <v>144</v>
      </c>
      <c r="B26" s="139" t="s">
        <v>222</v>
      </c>
    </row>
    <row r="27" spans="1:2" ht="12.75">
      <c r="A27" s="136"/>
      <c r="B27" s="139"/>
    </row>
    <row r="28" spans="1:2" ht="25.5">
      <c r="A28" s="136" t="s">
        <v>223</v>
      </c>
      <c r="B28" s="136" t="s">
        <v>185</v>
      </c>
    </row>
    <row r="29" spans="1:2" ht="12.75">
      <c r="A29" s="136"/>
      <c r="B29" s="136"/>
    </row>
    <row r="30" spans="1:2" ht="25.5">
      <c r="A30" s="136" t="s">
        <v>30</v>
      </c>
      <c r="B30" s="136" t="s">
        <v>145</v>
      </c>
    </row>
    <row r="31" spans="1:2" ht="12.75">
      <c r="A31" s="136"/>
      <c r="B31" s="136"/>
    </row>
    <row r="32" spans="1:2" ht="12.75">
      <c r="A32" s="136" t="s">
        <v>27</v>
      </c>
      <c r="B32" s="136" t="s">
        <v>146</v>
      </c>
    </row>
    <row r="33" spans="1:2" ht="12.75">
      <c r="A33" s="136"/>
      <c r="B33" s="136"/>
    </row>
    <row r="34" spans="1:2" ht="38.25">
      <c r="A34" s="136" t="s">
        <v>84</v>
      </c>
      <c r="B34" s="139" t="s">
        <v>147</v>
      </c>
    </row>
    <row r="35" spans="1:2" ht="12.75">
      <c r="A35" s="136"/>
      <c r="B35" s="139"/>
    </row>
    <row r="36" ht="12.75">
      <c r="A36" s="136"/>
    </row>
  </sheetData>
  <printOptions/>
  <pageMargins left="0.7480314960629921" right="0.7480314960629921" top="0.984251968503937" bottom="0.984251968503937" header="0.5118110236220472" footer="0.5118110236220472"/>
  <pageSetup fitToHeight="1" fitToWidth="1" horizontalDpi="600" verticalDpi="600" orientation="portrait" paperSize="9" scale="74" r:id="rId1"/>
  <headerFooter alignWithMargins="0">
    <oddHeader>&amp;L&amp;"Vodafone Rg,Regular"Vodafone Group Plc&amp;C&amp;"Vodafone Rg,Regular"&amp;A</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T114"/>
  <sheetViews>
    <sheetView showGridLines="0" view="pageBreakPreview" zoomScaleSheetLayoutView="100" workbookViewId="0" topLeftCell="A1">
      <pane xSplit="3" ySplit="4" topLeftCell="D5" activePane="bottomRight" state="frozen"/>
      <selection pane="topLeft" activeCell="B55" sqref="B55:J61"/>
      <selection pane="topRight" activeCell="B55" sqref="B55:J61"/>
      <selection pane="bottomLeft" activeCell="B55" sqref="B55:J61"/>
      <selection pane="bottomRight" activeCell="A1" sqref="A1"/>
    </sheetView>
  </sheetViews>
  <sheetFormatPr defaultColWidth="9.140625" defaultRowHeight="12.75"/>
  <cols>
    <col min="1" max="2" width="2.7109375" style="9" customWidth="1"/>
    <col min="3" max="3" width="24.7109375" style="10" customWidth="1"/>
    <col min="4" max="4" width="3.7109375" style="10" customWidth="1"/>
    <col min="5" max="8" width="8.7109375" style="10" customWidth="1"/>
    <col min="9" max="11" width="8.7109375" style="5" customWidth="1"/>
    <col min="12" max="12" width="8.7109375" style="4" customWidth="1"/>
    <col min="13" max="13" width="3.7109375" style="10" customWidth="1"/>
    <col min="14" max="14" width="4.7109375" style="10" customWidth="1"/>
    <col min="15" max="15" width="8.7109375" style="10" customWidth="1"/>
    <col min="16" max="17" width="8.7109375" style="5" customWidth="1"/>
    <col min="18" max="18" width="8.7109375" style="4" customWidth="1"/>
    <col min="19" max="19" width="4.57421875" style="10" customWidth="1"/>
    <col min="20" max="16384" width="9.140625" style="10" customWidth="1"/>
  </cols>
  <sheetData>
    <row r="1" spans="4:19" ht="14.25">
      <c r="D1" s="9"/>
      <c r="E1" s="11"/>
      <c r="F1" s="11"/>
      <c r="G1" s="11"/>
      <c r="H1" s="11"/>
      <c r="I1" s="11"/>
      <c r="J1" s="224"/>
      <c r="K1" s="224"/>
      <c r="L1" s="196"/>
      <c r="M1" s="9"/>
      <c r="N1" s="9"/>
      <c r="O1" s="329" t="s">
        <v>271</v>
      </c>
      <c r="P1" s="329"/>
      <c r="Q1" s="329"/>
      <c r="R1" s="329"/>
      <c r="S1" s="12"/>
    </row>
    <row r="2" spans="3:19" ht="12.75">
      <c r="C2" s="9"/>
      <c r="D2" s="9"/>
      <c r="E2" s="13" t="s">
        <v>107</v>
      </c>
      <c r="F2" s="13" t="s">
        <v>108</v>
      </c>
      <c r="G2" s="13" t="s">
        <v>109</v>
      </c>
      <c r="H2" s="6" t="s">
        <v>163</v>
      </c>
      <c r="I2" s="6" t="s">
        <v>164</v>
      </c>
      <c r="J2" s="13" t="s">
        <v>189</v>
      </c>
      <c r="K2" s="13" t="s">
        <v>195</v>
      </c>
      <c r="L2" s="48" t="s">
        <v>246</v>
      </c>
      <c r="M2" s="13"/>
      <c r="N2" s="13"/>
      <c r="O2" s="6" t="s">
        <v>164</v>
      </c>
      <c r="P2" s="13" t="s">
        <v>189</v>
      </c>
      <c r="Q2" s="6" t="s">
        <v>195</v>
      </c>
      <c r="R2" s="143" t="s">
        <v>246</v>
      </c>
      <c r="S2" s="9"/>
    </row>
    <row r="3" spans="3:19" ht="12.75">
      <c r="C3" s="9"/>
      <c r="D3" s="9"/>
      <c r="E3" s="13" t="s">
        <v>80</v>
      </c>
      <c r="F3" s="13" t="s">
        <v>80</v>
      </c>
      <c r="G3" s="13" t="s">
        <v>80</v>
      </c>
      <c r="H3" s="6" t="s">
        <v>80</v>
      </c>
      <c r="I3" s="6" t="s">
        <v>80</v>
      </c>
      <c r="J3" s="13" t="s">
        <v>80</v>
      </c>
      <c r="K3" s="13" t="s">
        <v>80</v>
      </c>
      <c r="L3" s="48" t="s">
        <v>80</v>
      </c>
      <c r="M3" s="13"/>
      <c r="N3" s="13"/>
      <c r="O3" s="6"/>
      <c r="P3" s="6"/>
      <c r="Q3" s="13"/>
      <c r="R3" s="143"/>
      <c r="S3" s="9"/>
    </row>
    <row r="4" spans="1:19" ht="7.5" customHeight="1">
      <c r="A4" s="14"/>
      <c r="B4" s="14"/>
      <c r="C4" s="9"/>
      <c r="D4" s="9"/>
      <c r="E4" s="9"/>
      <c r="F4" s="9"/>
      <c r="G4" s="9"/>
      <c r="H4" s="142"/>
      <c r="I4" s="142"/>
      <c r="J4" s="9"/>
      <c r="K4" s="9"/>
      <c r="L4" s="14"/>
      <c r="M4" s="9"/>
      <c r="N4" s="9"/>
      <c r="O4" s="142"/>
      <c r="P4" s="142"/>
      <c r="Q4" s="9"/>
      <c r="R4" s="144"/>
      <c r="S4" s="9"/>
    </row>
    <row r="5" spans="1:19" ht="12.75">
      <c r="A5" s="14" t="s">
        <v>20</v>
      </c>
      <c r="B5" s="14"/>
      <c r="C5" s="9"/>
      <c r="D5" s="9"/>
      <c r="E5" s="15"/>
      <c r="F5" s="15"/>
      <c r="G5" s="15"/>
      <c r="H5" s="197"/>
      <c r="I5" s="197"/>
      <c r="J5" s="15"/>
      <c r="K5" s="15"/>
      <c r="L5" s="204"/>
      <c r="M5" s="9"/>
      <c r="N5" s="9"/>
      <c r="O5" s="198"/>
      <c r="P5" s="198"/>
      <c r="Q5" s="16"/>
      <c r="R5" s="258"/>
      <c r="S5" s="9"/>
    </row>
    <row r="6" spans="1:19" ht="7.5" customHeight="1">
      <c r="A6" s="14"/>
      <c r="B6" s="14"/>
      <c r="C6" s="9"/>
      <c r="D6" s="9"/>
      <c r="E6" s="15"/>
      <c r="F6" s="15"/>
      <c r="G6" s="15"/>
      <c r="H6" s="197"/>
      <c r="I6" s="197"/>
      <c r="J6" s="15"/>
      <c r="K6" s="15"/>
      <c r="L6" s="204"/>
      <c r="M6" s="9"/>
      <c r="N6" s="9"/>
      <c r="O6" s="198"/>
      <c r="P6" s="198"/>
      <c r="Q6" s="16"/>
      <c r="R6" s="258"/>
      <c r="S6" s="9"/>
    </row>
    <row r="7" spans="1:19" ht="12.75">
      <c r="A7" s="14"/>
      <c r="B7" s="9" t="s">
        <v>15</v>
      </c>
      <c r="C7" s="9"/>
      <c r="D7" s="9"/>
      <c r="E7" s="15">
        <v>6450</v>
      </c>
      <c r="F7" s="15">
        <v>6652</v>
      </c>
      <c r="G7" s="15">
        <v>6760</v>
      </c>
      <c r="H7" s="15">
        <v>7183</v>
      </c>
      <c r="I7" s="15">
        <v>7297</v>
      </c>
      <c r="J7" s="15">
        <v>7547</v>
      </c>
      <c r="K7" s="15">
        <v>7607</v>
      </c>
      <c r="L7" s="204">
        <v>7456</v>
      </c>
      <c r="M7" s="9"/>
      <c r="N7" s="9"/>
      <c r="O7" s="19">
        <v>-2</v>
      </c>
      <c r="P7" s="19">
        <v>-2.8</v>
      </c>
      <c r="Q7" s="288">
        <v>-3.1</v>
      </c>
      <c r="R7" s="291">
        <v>-4.8</v>
      </c>
      <c r="S7" s="9"/>
    </row>
    <row r="8" spans="1:19" ht="12.75">
      <c r="A8" s="14"/>
      <c r="B8" s="9" t="s">
        <v>214</v>
      </c>
      <c r="C8" s="9"/>
      <c r="D8" s="9"/>
      <c r="E8" s="15">
        <v>1220</v>
      </c>
      <c r="F8" s="15">
        <v>1303</v>
      </c>
      <c r="G8" s="15">
        <v>1266</v>
      </c>
      <c r="H8" s="15">
        <v>1330</v>
      </c>
      <c r="I8" s="15">
        <v>1421</v>
      </c>
      <c r="J8" s="15">
        <v>1393</v>
      </c>
      <c r="K8" s="15">
        <v>1357</v>
      </c>
      <c r="L8" s="204">
        <v>1700</v>
      </c>
      <c r="M8" s="9"/>
      <c r="N8" s="9"/>
      <c r="O8" s="16">
        <v>6.3</v>
      </c>
      <c r="P8" s="16">
        <v>3.5</v>
      </c>
      <c r="Q8" s="288">
        <v>-1.9</v>
      </c>
      <c r="R8" s="291">
        <v>-2.5</v>
      </c>
      <c r="S8" s="9"/>
    </row>
    <row r="9" spans="1:19" ht="12.75">
      <c r="A9" s="14"/>
      <c r="B9" s="9" t="s">
        <v>215</v>
      </c>
      <c r="C9" s="9"/>
      <c r="D9" s="9"/>
      <c r="E9" s="15">
        <v>1060</v>
      </c>
      <c r="F9" s="15">
        <v>1193</v>
      </c>
      <c r="G9" s="15">
        <v>1282</v>
      </c>
      <c r="H9" s="15">
        <v>1307</v>
      </c>
      <c r="I9" s="15">
        <v>1350</v>
      </c>
      <c r="J9" s="15">
        <v>1514</v>
      </c>
      <c r="K9" s="15">
        <v>1648</v>
      </c>
      <c r="L9" s="204">
        <v>1572</v>
      </c>
      <c r="M9" s="9"/>
      <c r="N9" s="9"/>
      <c r="O9" s="16">
        <v>12.5</v>
      </c>
      <c r="P9" s="16">
        <v>9.2</v>
      </c>
      <c r="Q9" s="198">
        <v>4.7</v>
      </c>
      <c r="R9" s="292">
        <v>13.7</v>
      </c>
      <c r="S9" s="9"/>
    </row>
    <row r="10" spans="1:19" ht="12.75">
      <c r="A10" s="14"/>
      <c r="B10" s="9" t="s">
        <v>226</v>
      </c>
      <c r="C10" s="9"/>
      <c r="D10" s="9"/>
      <c r="E10" s="211">
        <v>11</v>
      </c>
      <c r="F10" s="211">
        <v>15</v>
      </c>
      <c r="G10" s="211">
        <v>13</v>
      </c>
      <c r="H10" s="211">
        <v>8</v>
      </c>
      <c r="I10" s="211">
        <v>6</v>
      </c>
      <c r="J10" s="211">
        <v>16</v>
      </c>
      <c r="K10" s="211">
        <v>33</v>
      </c>
      <c r="L10" s="290">
        <v>15</v>
      </c>
      <c r="M10" s="9"/>
      <c r="N10" s="9"/>
      <c r="O10" s="16"/>
      <c r="P10" s="16"/>
      <c r="Q10" s="198"/>
      <c r="R10" s="258"/>
      <c r="S10" s="9"/>
    </row>
    <row r="11" spans="1:20" ht="13.5" thickBot="1">
      <c r="A11" s="14" t="s">
        <v>65</v>
      </c>
      <c r="B11" s="14"/>
      <c r="C11" s="14"/>
      <c r="D11" s="14"/>
      <c r="E11" s="17">
        <v>8741</v>
      </c>
      <c r="F11" s="17">
        <v>9163</v>
      </c>
      <c r="G11" s="17">
        <v>9321</v>
      </c>
      <c r="H11" s="17">
        <v>9828</v>
      </c>
      <c r="I11" s="17">
        <v>10074</v>
      </c>
      <c r="J11" s="17">
        <v>10470</v>
      </c>
      <c r="K11" s="17">
        <v>10645</v>
      </c>
      <c r="L11" s="205">
        <v>10743</v>
      </c>
      <c r="M11" s="14"/>
      <c r="N11" s="18"/>
      <c r="O11" s="19">
        <v>0.1</v>
      </c>
      <c r="P11" s="19">
        <v>-1</v>
      </c>
      <c r="Q11" s="288">
        <v>-2.3</v>
      </c>
      <c r="R11" s="291">
        <v>-2.4</v>
      </c>
      <c r="S11" s="9"/>
      <c r="T11" s="20"/>
    </row>
    <row r="12" spans="1:19" ht="13.5" thickTop="1">
      <c r="A12" s="14"/>
      <c r="B12" s="14"/>
      <c r="C12" s="14"/>
      <c r="D12" s="14"/>
      <c r="E12" s="21"/>
      <c r="F12" s="21"/>
      <c r="G12" s="21"/>
      <c r="H12" s="21"/>
      <c r="I12" s="21"/>
      <c r="J12" s="21"/>
      <c r="K12" s="21"/>
      <c r="L12" s="206"/>
      <c r="M12" s="14"/>
      <c r="N12" s="9"/>
      <c r="O12" s="19"/>
      <c r="P12" s="19"/>
      <c r="Q12" s="288"/>
      <c r="R12" s="259"/>
      <c r="S12" s="9"/>
    </row>
    <row r="13" spans="2:19" ht="12.75">
      <c r="B13" s="9" t="s">
        <v>104</v>
      </c>
      <c r="D13" s="9"/>
      <c r="E13" s="21">
        <v>6045</v>
      </c>
      <c r="F13" s="21">
        <v>6128</v>
      </c>
      <c r="G13" s="21">
        <v>6242</v>
      </c>
      <c r="H13" s="21">
        <v>6587</v>
      </c>
      <c r="I13" s="21">
        <v>6680</v>
      </c>
      <c r="J13" s="21">
        <v>6779</v>
      </c>
      <c r="K13" s="21">
        <f>26906-H13-I13-J13</f>
        <v>6860</v>
      </c>
      <c r="L13" s="206">
        <v>6946</v>
      </c>
      <c r="M13" s="9"/>
      <c r="N13" s="22"/>
      <c r="O13" s="19">
        <v>-2.5</v>
      </c>
      <c r="P13" s="19">
        <v>-3.1</v>
      </c>
      <c r="Q13" s="288">
        <v>-6.2</v>
      </c>
      <c r="R13" s="259">
        <v>-5.6</v>
      </c>
      <c r="S13" s="9"/>
    </row>
    <row r="14" spans="2:20" ht="12.75">
      <c r="B14" s="9" t="s">
        <v>23</v>
      </c>
      <c r="D14" s="9"/>
      <c r="E14" s="21">
        <v>961</v>
      </c>
      <c r="F14" s="21">
        <v>1021</v>
      </c>
      <c r="G14" s="21">
        <v>1058</v>
      </c>
      <c r="H14" s="21">
        <v>1067</v>
      </c>
      <c r="I14" s="21">
        <v>1104</v>
      </c>
      <c r="J14" s="21">
        <v>1149</v>
      </c>
      <c r="K14" s="21">
        <f>4473-H14-I14-J14</f>
        <v>1153</v>
      </c>
      <c r="L14" s="206">
        <v>1144</v>
      </c>
      <c r="M14" s="9"/>
      <c r="N14" s="22"/>
      <c r="O14" s="19">
        <v>2.5</v>
      </c>
      <c r="P14" s="19">
        <v>0.3</v>
      </c>
      <c r="Q14" s="288">
        <v>-3.3</v>
      </c>
      <c r="R14" s="259">
        <v>-1.5</v>
      </c>
      <c r="S14" s="9"/>
      <c r="T14" s="23"/>
    </row>
    <row r="15" spans="2:19" ht="12.75">
      <c r="B15" s="9" t="s">
        <v>21</v>
      </c>
      <c r="D15" s="9"/>
      <c r="E15" s="21">
        <v>496</v>
      </c>
      <c r="F15" s="21">
        <v>540</v>
      </c>
      <c r="G15" s="21">
        <v>643</v>
      </c>
      <c r="H15" s="21">
        <v>664</v>
      </c>
      <c r="I15" s="21">
        <v>727</v>
      </c>
      <c r="J15" s="21">
        <v>786</v>
      </c>
      <c r="K15" s="21">
        <v>869</v>
      </c>
      <c r="L15" s="206">
        <v>888</v>
      </c>
      <c r="M15" s="9"/>
      <c r="N15" s="9"/>
      <c r="O15" s="19">
        <v>25.1</v>
      </c>
      <c r="P15" s="19">
        <v>25.3</v>
      </c>
      <c r="Q15" s="288">
        <v>24.6</v>
      </c>
      <c r="R15" s="259">
        <v>19.4</v>
      </c>
      <c r="S15" s="9"/>
    </row>
    <row r="16" spans="2:19" ht="12.75">
      <c r="B16" s="9" t="s">
        <v>105</v>
      </c>
      <c r="D16" s="9"/>
      <c r="E16" s="21">
        <v>400</v>
      </c>
      <c r="F16" s="21">
        <v>474</v>
      </c>
      <c r="G16" s="21">
        <v>598</v>
      </c>
      <c r="H16" s="21">
        <v>613</v>
      </c>
      <c r="I16" s="21">
        <v>624</v>
      </c>
      <c r="J16" s="21">
        <v>695</v>
      </c>
      <c r="K16" s="21">
        <f>2727-H16-I16-J16</f>
        <v>795</v>
      </c>
      <c r="L16" s="206">
        <v>788</v>
      </c>
      <c r="M16" s="9"/>
      <c r="N16" s="9"/>
      <c r="O16" s="19">
        <v>1.6</v>
      </c>
      <c r="P16" s="19">
        <v>0.6</v>
      </c>
      <c r="Q16" s="288">
        <v>6.3</v>
      </c>
      <c r="R16" s="259">
        <v>6.6</v>
      </c>
      <c r="S16" s="9"/>
    </row>
    <row r="17" spans="2:19" ht="12.75">
      <c r="B17" s="9" t="s">
        <v>24</v>
      </c>
      <c r="D17" s="9"/>
      <c r="E17" s="25">
        <v>272</v>
      </c>
      <c r="F17" s="25">
        <v>227</v>
      </c>
      <c r="G17" s="25">
        <v>224</v>
      </c>
      <c r="H17" s="24">
        <v>271</v>
      </c>
      <c r="I17" s="26">
        <v>303</v>
      </c>
      <c r="J17" s="24">
        <v>262</v>
      </c>
      <c r="K17" s="24">
        <f>1142-H17-I17-J17</f>
        <v>306</v>
      </c>
      <c r="L17" s="209">
        <v>325</v>
      </c>
      <c r="M17" s="9"/>
      <c r="N17" s="9"/>
      <c r="O17" s="212">
        <v>0.3</v>
      </c>
      <c r="P17" s="19">
        <v>8.4</v>
      </c>
      <c r="Q17" s="288">
        <v>-6.6</v>
      </c>
      <c r="R17" s="259">
        <v>7.9</v>
      </c>
      <c r="S17" s="9"/>
    </row>
    <row r="18" spans="2:19" ht="13.5" thickBot="1">
      <c r="B18" s="14" t="s">
        <v>84</v>
      </c>
      <c r="D18" s="9"/>
      <c r="E18" s="27">
        <v>8174</v>
      </c>
      <c r="F18" s="27">
        <v>8390</v>
      </c>
      <c r="G18" s="27">
        <v>8765</v>
      </c>
      <c r="H18" s="27">
        <v>9202</v>
      </c>
      <c r="I18" s="27">
        <v>9438</v>
      </c>
      <c r="J18" s="27">
        <v>9671</v>
      </c>
      <c r="K18" s="27">
        <v>9983</v>
      </c>
      <c r="L18" s="207">
        <v>10091</v>
      </c>
      <c r="M18" s="9"/>
      <c r="N18" s="9"/>
      <c r="O18" s="19">
        <v>0.2</v>
      </c>
      <c r="P18" s="19">
        <v>-0.3</v>
      </c>
      <c r="Q18" s="288">
        <v>-2.7</v>
      </c>
      <c r="R18" s="259">
        <v>-2.1</v>
      </c>
      <c r="S18" s="9"/>
    </row>
    <row r="19" spans="3:19" ht="13.5" thickTop="1">
      <c r="C19" s="9"/>
      <c r="D19" s="9"/>
      <c r="E19" s="21"/>
      <c r="F19" s="21"/>
      <c r="G19" s="21"/>
      <c r="H19" s="21"/>
      <c r="I19" s="21"/>
      <c r="J19" s="21"/>
      <c r="K19" s="21"/>
      <c r="L19" s="206"/>
      <c r="M19" s="9"/>
      <c r="N19" s="9"/>
      <c r="O19" s="19"/>
      <c r="P19" s="19"/>
      <c r="Q19" s="19"/>
      <c r="R19" s="259"/>
      <c r="S19" s="9"/>
    </row>
    <row r="20" spans="1:19" ht="12.75">
      <c r="A20" s="14" t="s">
        <v>15</v>
      </c>
      <c r="B20" s="14"/>
      <c r="C20" s="9"/>
      <c r="D20" s="9"/>
      <c r="E20" s="21"/>
      <c r="F20" s="21"/>
      <c r="G20" s="21"/>
      <c r="H20" s="21"/>
      <c r="I20" s="21"/>
      <c r="J20" s="21"/>
      <c r="K20" s="21"/>
      <c r="L20" s="206"/>
      <c r="M20" s="9"/>
      <c r="N20" s="9"/>
      <c r="O20" s="19"/>
      <c r="P20" s="19"/>
      <c r="Q20" s="19"/>
      <c r="R20" s="259"/>
      <c r="S20" s="9"/>
    </row>
    <row r="21" spans="1:19" ht="6.75" customHeight="1">
      <c r="A21" s="14"/>
      <c r="B21" s="14"/>
      <c r="C21" s="9"/>
      <c r="D21" s="9"/>
      <c r="E21" s="21"/>
      <c r="F21" s="21"/>
      <c r="G21" s="21"/>
      <c r="H21" s="21"/>
      <c r="I21" s="21"/>
      <c r="J21" s="21"/>
      <c r="K21" s="21"/>
      <c r="L21" s="206"/>
      <c r="M21" s="9"/>
      <c r="N21" s="9"/>
      <c r="O21" s="19"/>
      <c r="P21" s="19"/>
      <c r="Q21" s="19"/>
      <c r="R21" s="259"/>
      <c r="S21" s="9"/>
    </row>
    <row r="22" spans="1:19" ht="13.5" thickBot="1">
      <c r="A22" s="14" t="s">
        <v>65</v>
      </c>
      <c r="B22" s="14"/>
      <c r="C22" s="14"/>
      <c r="D22" s="14"/>
      <c r="E22" s="17">
        <v>6450</v>
      </c>
      <c r="F22" s="17">
        <v>6652</v>
      </c>
      <c r="G22" s="17">
        <v>6760</v>
      </c>
      <c r="H22" s="17">
        <v>7183</v>
      </c>
      <c r="I22" s="17">
        <v>7297</v>
      </c>
      <c r="J22" s="17">
        <v>7547</v>
      </c>
      <c r="K22" s="17">
        <v>7607</v>
      </c>
      <c r="L22" s="205">
        <v>7456</v>
      </c>
      <c r="M22" s="14"/>
      <c r="N22" s="9"/>
      <c r="O22" s="19">
        <v>-2</v>
      </c>
      <c r="P22" s="19">
        <v>-2.8</v>
      </c>
      <c r="Q22" s="288">
        <v>-3.1</v>
      </c>
      <c r="R22" s="291">
        <v>-4.8</v>
      </c>
      <c r="S22" s="9"/>
    </row>
    <row r="23" spans="1:19" ht="7.5" customHeight="1" thickTop="1">
      <c r="A23" s="14"/>
      <c r="B23" s="14"/>
      <c r="C23" s="14"/>
      <c r="D23" s="14"/>
      <c r="E23" s="21"/>
      <c r="F23" s="21"/>
      <c r="G23" s="21"/>
      <c r="H23" s="21"/>
      <c r="I23" s="21"/>
      <c r="J23" s="21"/>
      <c r="K23" s="21"/>
      <c r="L23" s="206"/>
      <c r="M23" s="14"/>
      <c r="N23" s="9"/>
      <c r="O23" s="19"/>
      <c r="P23" s="19"/>
      <c r="Q23" s="288"/>
      <c r="R23" s="259"/>
      <c r="S23" s="9"/>
    </row>
    <row r="24" spans="2:19" ht="12.75">
      <c r="B24" s="9" t="s">
        <v>104</v>
      </c>
      <c r="D24" s="9"/>
      <c r="E24" s="21">
        <v>4264</v>
      </c>
      <c r="F24" s="21">
        <v>4221</v>
      </c>
      <c r="G24" s="21">
        <v>4329</v>
      </c>
      <c r="H24" s="21">
        <v>4560</v>
      </c>
      <c r="I24" s="21">
        <v>4587</v>
      </c>
      <c r="J24" s="21">
        <v>4609</v>
      </c>
      <c r="K24" s="21">
        <f>18417-H24-I24-J24</f>
        <v>4661</v>
      </c>
      <c r="L24" s="206">
        <v>4538</v>
      </c>
      <c r="M24" s="9"/>
      <c r="N24" s="9"/>
      <c r="O24" s="19">
        <v>-5</v>
      </c>
      <c r="P24" s="19">
        <v>-4.9</v>
      </c>
      <c r="Q24" s="288">
        <v>-7.2</v>
      </c>
      <c r="R24" s="259">
        <v>-8.8</v>
      </c>
      <c r="S24" s="9"/>
    </row>
    <row r="25" spans="2:19" ht="12.75">
      <c r="B25" s="9" t="s">
        <v>23</v>
      </c>
      <c r="D25" s="9"/>
      <c r="E25" s="21">
        <v>782</v>
      </c>
      <c r="F25" s="21">
        <v>808</v>
      </c>
      <c r="G25" s="21">
        <v>842</v>
      </c>
      <c r="H25" s="21">
        <v>855</v>
      </c>
      <c r="I25" s="21">
        <v>879</v>
      </c>
      <c r="J25" s="21">
        <v>918</v>
      </c>
      <c r="K25" s="21">
        <f>3580-H25-I25-J25</f>
        <v>928</v>
      </c>
      <c r="L25" s="206">
        <v>903</v>
      </c>
      <c r="M25" s="9"/>
      <c r="N25" s="9"/>
      <c r="O25" s="19">
        <v>0.7</v>
      </c>
      <c r="P25" s="19">
        <v>-0.2</v>
      </c>
      <c r="Q25" s="288">
        <v>-3.6</v>
      </c>
      <c r="R25" s="259">
        <v>-2.1</v>
      </c>
      <c r="S25" s="9"/>
    </row>
    <row r="26" spans="2:19" ht="12.75">
      <c r="B26" s="9" t="s">
        <v>21</v>
      </c>
      <c r="D26" s="9"/>
      <c r="E26" s="21">
        <v>429</v>
      </c>
      <c r="F26" s="21">
        <v>458</v>
      </c>
      <c r="G26" s="21">
        <v>504</v>
      </c>
      <c r="H26" s="21">
        <v>552</v>
      </c>
      <c r="I26" s="21">
        <v>593</v>
      </c>
      <c r="J26" s="21">
        <v>642</v>
      </c>
      <c r="K26" s="21">
        <v>714</v>
      </c>
      <c r="L26" s="206">
        <v>708</v>
      </c>
      <c r="M26" s="9"/>
      <c r="N26" s="9"/>
      <c r="O26" s="19">
        <v>21.8</v>
      </c>
      <c r="P26" s="19">
        <v>21.8</v>
      </c>
      <c r="Q26" s="19">
        <v>22.1</v>
      </c>
      <c r="R26" s="259">
        <v>17.8</v>
      </c>
      <c r="S26" s="9"/>
    </row>
    <row r="27" spans="2:19" ht="12.75">
      <c r="B27" s="9" t="s">
        <v>105</v>
      </c>
      <c r="D27" s="9"/>
      <c r="E27" s="21">
        <v>389</v>
      </c>
      <c r="F27" s="21">
        <v>462</v>
      </c>
      <c r="G27" s="21">
        <v>585</v>
      </c>
      <c r="H27" s="21">
        <v>598</v>
      </c>
      <c r="I27" s="21">
        <v>601</v>
      </c>
      <c r="J27" s="21">
        <v>656</v>
      </c>
      <c r="K27" s="21">
        <f>2587-H27-I27-J27</f>
        <v>732</v>
      </c>
      <c r="L27" s="206">
        <v>707</v>
      </c>
      <c r="M27" s="9"/>
      <c r="N27" s="9"/>
      <c r="O27" s="19">
        <v>0.5</v>
      </c>
      <c r="P27" s="29">
        <v>0</v>
      </c>
      <c r="Q27" s="19">
        <v>5.2</v>
      </c>
      <c r="R27" s="259">
        <v>5.7</v>
      </c>
      <c r="S27" s="9"/>
    </row>
    <row r="28" spans="2:19" ht="12.75">
      <c r="B28" s="9" t="s">
        <v>24</v>
      </c>
      <c r="D28" s="9"/>
      <c r="E28" s="21">
        <v>199</v>
      </c>
      <c r="F28" s="21">
        <v>150</v>
      </c>
      <c r="G28" s="21">
        <v>158</v>
      </c>
      <c r="H28" s="26">
        <v>203</v>
      </c>
      <c r="I28" s="26">
        <v>226</v>
      </c>
      <c r="J28" s="28">
        <v>188</v>
      </c>
      <c r="K28" s="28">
        <f>801-H28-I28-J28</f>
        <v>184</v>
      </c>
      <c r="L28" s="208">
        <v>208</v>
      </c>
      <c r="M28" s="9"/>
      <c r="N28" s="9"/>
      <c r="O28" s="212">
        <v>1.3</v>
      </c>
      <c r="P28" s="19">
        <v>11.2</v>
      </c>
      <c r="Q28" s="288">
        <v>-7.6</v>
      </c>
      <c r="R28" s="259">
        <v>-4.9</v>
      </c>
      <c r="S28" s="9"/>
    </row>
    <row r="29" spans="2:19" ht="13.5" thickBot="1">
      <c r="B29" s="14" t="s">
        <v>84</v>
      </c>
      <c r="C29" s="41"/>
      <c r="D29" s="9"/>
      <c r="E29" s="27">
        <v>6063</v>
      </c>
      <c r="F29" s="27">
        <v>6099</v>
      </c>
      <c r="G29" s="27">
        <v>6418</v>
      </c>
      <c r="H29" s="27">
        <v>6768</v>
      </c>
      <c r="I29" s="27">
        <v>6886</v>
      </c>
      <c r="J29" s="27">
        <v>7013</v>
      </c>
      <c r="K29" s="27">
        <v>7219</v>
      </c>
      <c r="L29" s="207">
        <v>7064</v>
      </c>
      <c r="M29" s="9"/>
      <c r="N29" s="9"/>
      <c r="O29" s="19">
        <v>-1.8</v>
      </c>
      <c r="P29" s="19">
        <v>-1.4</v>
      </c>
      <c r="Q29" s="288">
        <v>-3.3</v>
      </c>
      <c r="R29" s="259">
        <v>-4.4</v>
      </c>
      <c r="S29" s="9"/>
    </row>
    <row r="30" spans="2:19" ht="13.5" thickTop="1">
      <c r="B30" s="14"/>
      <c r="C30" s="41"/>
      <c r="D30" s="9"/>
      <c r="E30" s="21"/>
      <c r="F30" s="21"/>
      <c r="G30" s="21"/>
      <c r="H30" s="21"/>
      <c r="I30" s="21"/>
      <c r="J30" s="21"/>
      <c r="K30" s="21"/>
      <c r="L30" s="206"/>
      <c r="M30" s="9"/>
      <c r="N30" s="9"/>
      <c r="O30" s="19"/>
      <c r="P30" s="19"/>
      <c r="Q30" s="288"/>
      <c r="R30" s="259"/>
      <c r="S30" s="9"/>
    </row>
    <row r="31" spans="1:19" ht="12.75">
      <c r="A31" s="14"/>
      <c r="B31" s="9" t="s">
        <v>104</v>
      </c>
      <c r="D31" s="9"/>
      <c r="E31" s="21">
        <v>902</v>
      </c>
      <c r="F31" s="21">
        <v>892</v>
      </c>
      <c r="G31" s="21">
        <v>929</v>
      </c>
      <c r="H31" s="21">
        <v>981</v>
      </c>
      <c r="I31" s="21">
        <v>996</v>
      </c>
      <c r="J31" s="21">
        <v>1017</v>
      </c>
      <c r="K31" s="21">
        <f>4040-H31-I31-J31</f>
        <v>1046</v>
      </c>
      <c r="L31" s="206">
        <v>984</v>
      </c>
      <c r="M31" s="9"/>
      <c r="N31" s="9"/>
      <c r="O31" s="30"/>
      <c r="P31" s="30"/>
      <c r="Q31" s="199"/>
      <c r="R31" s="200"/>
      <c r="S31" s="9"/>
    </row>
    <row r="32" spans="1:19" ht="12.75">
      <c r="A32" s="14"/>
      <c r="B32" s="9" t="s">
        <v>23</v>
      </c>
      <c r="D32" s="9"/>
      <c r="E32" s="21">
        <v>177</v>
      </c>
      <c r="F32" s="21">
        <v>174</v>
      </c>
      <c r="G32" s="21">
        <v>174</v>
      </c>
      <c r="H32" s="21">
        <v>181</v>
      </c>
      <c r="I32" s="21">
        <v>183</v>
      </c>
      <c r="J32" s="21">
        <v>191</v>
      </c>
      <c r="K32" s="21">
        <f>755-H32-I32-J32</f>
        <v>200</v>
      </c>
      <c r="L32" s="206">
        <v>193</v>
      </c>
      <c r="M32" s="9"/>
      <c r="N32" s="9"/>
      <c r="O32" s="30"/>
      <c r="P32" s="30"/>
      <c r="Q32" s="199"/>
      <c r="R32" s="200"/>
      <c r="S32" s="9"/>
    </row>
    <row r="33" spans="1:19" ht="12.75">
      <c r="A33" s="14"/>
      <c r="B33" s="9" t="s">
        <v>21</v>
      </c>
      <c r="D33" s="9"/>
      <c r="E33" s="21">
        <v>134</v>
      </c>
      <c r="F33" s="21">
        <v>142</v>
      </c>
      <c r="G33" s="21">
        <v>167</v>
      </c>
      <c r="H33" s="21">
        <v>176</v>
      </c>
      <c r="I33" s="21">
        <v>189</v>
      </c>
      <c r="J33" s="21">
        <v>209</v>
      </c>
      <c r="K33" s="21">
        <v>229</v>
      </c>
      <c r="L33" s="206">
        <v>227</v>
      </c>
      <c r="M33" s="9"/>
      <c r="N33" s="9"/>
      <c r="O33" s="30"/>
      <c r="P33" s="30"/>
      <c r="Q33" s="199"/>
      <c r="R33" s="200"/>
      <c r="S33" s="9"/>
    </row>
    <row r="34" spans="1:19" ht="12.75">
      <c r="A34" s="14"/>
      <c r="B34" s="9" t="s">
        <v>105</v>
      </c>
      <c r="D34" s="9"/>
      <c r="E34" s="21">
        <v>365</v>
      </c>
      <c r="F34" s="21">
        <v>392</v>
      </c>
      <c r="G34" s="21">
        <v>406</v>
      </c>
      <c r="H34" s="21">
        <v>412</v>
      </c>
      <c r="I34" s="21">
        <v>416</v>
      </c>
      <c r="J34" s="21">
        <v>445</v>
      </c>
      <c r="K34" s="21">
        <f>1769-H34-I34-J34</f>
        <v>496</v>
      </c>
      <c r="L34" s="206">
        <v>462</v>
      </c>
      <c r="M34" s="9"/>
      <c r="N34" s="9"/>
      <c r="O34" s="30"/>
      <c r="P34" s="30"/>
      <c r="Q34" s="199"/>
      <c r="R34" s="200"/>
      <c r="S34" s="9"/>
    </row>
    <row r="35" spans="1:19" ht="12.75">
      <c r="A35" s="14"/>
      <c r="B35" s="9" t="s">
        <v>24</v>
      </c>
      <c r="D35" s="9"/>
      <c r="E35" s="21">
        <v>43</v>
      </c>
      <c r="F35" s="21">
        <v>36</v>
      </c>
      <c r="G35" s="21">
        <v>33</v>
      </c>
      <c r="H35" s="21">
        <v>47</v>
      </c>
      <c r="I35" s="21">
        <v>44</v>
      </c>
      <c r="J35" s="21">
        <v>47</v>
      </c>
      <c r="K35" s="21">
        <f>168-H35-I35-J35</f>
        <v>30</v>
      </c>
      <c r="L35" s="206">
        <v>37</v>
      </c>
      <c r="M35" s="9"/>
      <c r="N35" s="9"/>
      <c r="O35" s="30"/>
      <c r="P35" s="30"/>
      <c r="Q35" s="199"/>
      <c r="R35" s="200"/>
      <c r="S35" s="9"/>
    </row>
    <row r="36" spans="2:19" ht="12.75">
      <c r="B36" s="14" t="s">
        <v>16</v>
      </c>
      <c r="D36" s="9"/>
      <c r="E36" s="293">
        <v>1621</v>
      </c>
      <c r="F36" s="293">
        <v>1636</v>
      </c>
      <c r="G36" s="293">
        <v>1709</v>
      </c>
      <c r="H36" s="293">
        <v>1797</v>
      </c>
      <c r="I36" s="293">
        <v>1828</v>
      </c>
      <c r="J36" s="293">
        <v>1909</v>
      </c>
      <c r="K36" s="293">
        <v>2001</v>
      </c>
      <c r="L36" s="294">
        <v>1903</v>
      </c>
      <c r="M36" s="9"/>
      <c r="N36" s="9"/>
      <c r="O36" s="30">
        <v>-3.4</v>
      </c>
      <c r="P36" s="19">
        <v>-1.4</v>
      </c>
      <c r="Q36" s="288">
        <v>-2.4</v>
      </c>
      <c r="R36" s="259">
        <v>-4.8</v>
      </c>
      <c r="S36" s="9"/>
    </row>
    <row r="37" spans="3:19" ht="12.75">
      <c r="C37" s="9"/>
      <c r="D37" s="9"/>
      <c r="E37" s="21"/>
      <c r="F37" s="21"/>
      <c r="G37" s="21"/>
      <c r="H37" s="21"/>
      <c r="I37" s="21"/>
      <c r="J37" s="21"/>
      <c r="K37" s="21"/>
      <c r="L37" s="206"/>
      <c r="M37" s="9"/>
      <c r="N37" s="9"/>
      <c r="O37" s="30"/>
      <c r="P37" s="19"/>
      <c r="Q37" s="288"/>
      <c r="R37" s="259"/>
      <c r="S37" s="9"/>
    </row>
    <row r="38" spans="2:19" ht="12.75">
      <c r="B38" s="9" t="s">
        <v>104</v>
      </c>
      <c r="D38" s="9"/>
      <c r="E38" s="21">
        <v>758</v>
      </c>
      <c r="F38" s="21">
        <v>770</v>
      </c>
      <c r="G38" s="21">
        <v>793</v>
      </c>
      <c r="H38" s="21">
        <v>862</v>
      </c>
      <c r="I38" s="21">
        <v>859</v>
      </c>
      <c r="J38" s="21">
        <v>909</v>
      </c>
      <c r="K38" s="21">
        <v>926</v>
      </c>
      <c r="L38" s="206">
        <v>952</v>
      </c>
      <c r="M38" s="9"/>
      <c r="N38" s="9"/>
      <c r="O38" s="30"/>
      <c r="P38" s="19"/>
      <c r="Q38" s="288"/>
      <c r="R38" s="259"/>
      <c r="S38" s="9"/>
    </row>
    <row r="39" spans="2:19" ht="12.75">
      <c r="B39" s="9" t="s">
        <v>23</v>
      </c>
      <c r="D39" s="9"/>
      <c r="E39" s="21">
        <v>162</v>
      </c>
      <c r="F39" s="21">
        <v>173</v>
      </c>
      <c r="G39" s="21">
        <v>187</v>
      </c>
      <c r="H39" s="21">
        <v>189</v>
      </c>
      <c r="I39" s="21">
        <v>203</v>
      </c>
      <c r="J39" s="21">
        <v>214</v>
      </c>
      <c r="K39" s="21">
        <v>227</v>
      </c>
      <c r="L39" s="206">
        <v>222</v>
      </c>
      <c r="M39" s="9"/>
      <c r="N39" s="9"/>
      <c r="O39" s="30"/>
      <c r="P39" s="19"/>
      <c r="Q39" s="288"/>
      <c r="R39" s="259"/>
      <c r="S39" s="9"/>
    </row>
    <row r="40" spans="2:19" ht="12.75">
      <c r="B40" s="9" t="s">
        <v>21</v>
      </c>
      <c r="D40" s="9"/>
      <c r="E40" s="21">
        <v>61</v>
      </c>
      <c r="F40" s="21">
        <v>71</v>
      </c>
      <c r="G40" s="21">
        <v>80</v>
      </c>
      <c r="H40" s="21">
        <v>88</v>
      </c>
      <c r="I40" s="21">
        <v>94</v>
      </c>
      <c r="J40" s="21">
        <v>105</v>
      </c>
      <c r="K40" s="21">
        <v>117</v>
      </c>
      <c r="L40" s="206">
        <v>115</v>
      </c>
      <c r="M40" s="9"/>
      <c r="N40" s="9"/>
      <c r="O40" s="30"/>
      <c r="P40" s="19"/>
      <c r="Q40" s="288"/>
      <c r="R40" s="259"/>
      <c r="S40" s="9"/>
    </row>
    <row r="41" spans="2:19" ht="12.75">
      <c r="B41" s="9" t="s">
        <v>105</v>
      </c>
      <c r="D41" s="9"/>
      <c r="E41" s="21">
        <v>4</v>
      </c>
      <c r="F41" s="21">
        <v>35</v>
      </c>
      <c r="G41" s="21">
        <v>92</v>
      </c>
      <c r="H41" s="21">
        <v>97</v>
      </c>
      <c r="I41" s="21">
        <v>93</v>
      </c>
      <c r="J41" s="21">
        <v>107</v>
      </c>
      <c r="K41" s="21">
        <v>120</v>
      </c>
      <c r="L41" s="206">
        <v>128</v>
      </c>
      <c r="M41" s="9"/>
      <c r="N41" s="9"/>
      <c r="O41" s="30"/>
      <c r="P41" s="19"/>
      <c r="Q41" s="288"/>
      <c r="R41" s="259"/>
      <c r="S41" s="9"/>
    </row>
    <row r="42" spans="2:19" ht="12.75">
      <c r="B42" s="9" t="s">
        <v>24</v>
      </c>
      <c r="D42" s="9"/>
      <c r="E42" s="21">
        <v>35</v>
      </c>
      <c r="F42" s="21">
        <v>23</v>
      </c>
      <c r="G42" s="21">
        <v>24</v>
      </c>
      <c r="H42" s="21">
        <v>32</v>
      </c>
      <c r="I42" s="21">
        <v>43</v>
      </c>
      <c r="J42" s="21">
        <v>28</v>
      </c>
      <c r="K42" s="21">
        <v>34</v>
      </c>
      <c r="L42" s="206">
        <v>34</v>
      </c>
      <c r="M42" s="9"/>
      <c r="N42" s="9"/>
      <c r="O42" s="30"/>
      <c r="P42" s="19"/>
      <c r="Q42" s="288"/>
      <c r="R42" s="259"/>
      <c r="S42" s="9"/>
    </row>
    <row r="43" spans="2:19" ht="12.75">
      <c r="B43" s="14" t="s">
        <v>17</v>
      </c>
      <c r="D43" s="9"/>
      <c r="E43" s="293">
        <v>1020</v>
      </c>
      <c r="F43" s="293">
        <v>1072</v>
      </c>
      <c r="G43" s="293">
        <v>1176</v>
      </c>
      <c r="H43" s="293">
        <v>1268</v>
      </c>
      <c r="I43" s="293">
        <v>1292</v>
      </c>
      <c r="J43" s="293">
        <v>1363</v>
      </c>
      <c r="K43" s="293">
        <v>1424</v>
      </c>
      <c r="L43" s="294">
        <v>1451</v>
      </c>
      <c r="M43" s="9"/>
      <c r="N43" s="9"/>
      <c r="O43" s="30">
        <v>1.3</v>
      </c>
      <c r="P43" s="19">
        <v>1.9</v>
      </c>
      <c r="Q43" s="288">
        <v>1</v>
      </c>
      <c r="R43" s="259">
        <v>3.1</v>
      </c>
      <c r="S43" s="9"/>
    </row>
    <row r="44" spans="3:19" ht="12.75">
      <c r="C44" s="9"/>
      <c r="D44" s="9"/>
      <c r="E44" s="21"/>
      <c r="F44" s="21"/>
      <c r="G44" s="21"/>
      <c r="H44" s="21"/>
      <c r="I44" s="21"/>
      <c r="J44" s="21"/>
      <c r="K44" s="21"/>
      <c r="L44" s="206"/>
      <c r="M44" s="9"/>
      <c r="N44" s="9"/>
      <c r="O44" s="30"/>
      <c r="P44" s="19"/>
      <c r="Q44" s="288"/>
      <c r="R44" s="259"/>
      <c r="S44" s="9"/>
    </row>
    <row r="45" spans="2:19" ht="12.75">
      <c r="B45" s="9" t="s">
        <v>104</v>
      </c>
      <c r="D45" s="9"/>
      <c r="E45" s="21">
        <v>885</v>
      </c>
      <c r="F45" s="21">
        <v>906</v>
      </c>
      <c r="G45" s="21">
        <v>937</v>
      </c>
      <c r="H45" s="21">
        <v>990</v>
      </c>
      <c r="I45" s="21">
        <v>1007</v>
      </c>
      <c r="J45" s="21">
        <v>994</v>
      </c>
      <c r="K45" s="21">
        <v>1000</v>
      </c>
      <c r="L45" s="206">
        <v>983</v>
      </c>
      <c r="M45" s="9"/>
      <c r="N45" s="9"/>
      <c r="O45" s="30"/>
      <c r="P45" s="19"/>
      <c r="Q45" s="288"/>
      <c r="R45" s="259"/>
      <c r="S45" s="9"/>
    </row>
    <row r="46" spans="2:19" ht="12.75">
      <c r="B46" s="9" t="s">
        <v>23</v>
      </c>
      <c r="D46" s="9"/>
      <c r="E46" s="21">
        <v>92</v>
      </c>
      <c r="F46" s="21">
        <v>99</v>
      </c>
      <c r="G46" s="21">
        <v>102</v>
      </c>
      <c r="H46" s="21">
        <v>101</v>
      </c>
      <c r="I46" s="21">
        <v>107</v>
      </c>
      <c r="J46" s="21">
        <v>114</v>
      </c>
      <c r="K46" s="21">
        <v>108</v>
      </c>
      <c r="L46" s="206">
        <v>101</v>
      </c>
      <c r="M46" s="9"/>
      <c r="N46" s="9"/>
      <c r="O46" s="30"/>
      <c r="P46" s="19"/>
      <c r="Q46" s="288"/>
      <c r="R46" s="259"/>
      <c r="S46" s="9"/>
    </row>
    <row r="47" spans="2:19" ht="12.75">
      <c r="B47" s="9" t="s">
        <v>21</v>
      </c>
      <c r="D47" s="9"/>
      <c r="E47" s="21">
        <v>81</v>
      </c>
      <c r="F47" s="21">
        <v>80</v>
      </c>
      <c r="G47" s="21">
        <v>84</v>
      </c>
      <c r="H47" s="21">
        <v>91</v>
      </c>
      <c r="I47" s="21">
        <v>95</v>
      </c>
      <c r="J47" s="21">
        <v>102</v>
      </c>
      <c r="K47" s="21">
        <v>131</v>
      </c>
      <c r="L47" s="206">
        <v>117</v>
      </c>
      <c r="M47" s="9"/>
      <c r="N47" s="9"/>
      <c r="O47" s="30"/>
      <c r="P47" s="19"/>
      <c r="Q47" s="288"/>
      <c r="R47" s="259"/>
      <c r="S47" s="9"/>
    </row>
    <row r="48" spans="2:19" ht="12.75">
      <c r="B48" s="9" t="s">
        <v>105</v>
      </c>
      <c r="D48" s="9"/>
      <c r="E48" s="21">
        <v>4</v>
      </c>
      <c r="F48" s="21">
        <v>19</v>
      </c>
      <c r="G48" s="21">
        <v>58</v>
      </c>
      <c r="H48" s="21">
        <v>60</v>
      </c>
      <c r="I48" s="21">
        <v>61</v>
      </c>
      <c r="J48" s="21">
        <v>68</v>
      </c>
      <c r="K48" s="21">
        <v>76</v>
      </c>
      <c r="L48" s="206">
        <v>77</v>
      </c>
      <c r="M48" s="9"/>
      <c r="N48" s="9"/>
      <c r="O48" s="30"/>
      <c r="P48" s="19"/>
      <c r="Q48" s="288"/>
      <c r="R48" s="259"/>
      <c r="S48" s="9"/>
    </row>
    <row r="49" spans="2:19" ht="12.75">
      <c r="B49" s="9" t="s">
        <v>24</v>
      </c>
      <c r="D49" s="9"/>
      <c r="E49" s="21">
        <v>79</v>
      </c>
      <c r="F49" s="21">
        <v>51</v>
      </c>
      <c r="G49" s="21">
        <v>59</v>
      </c>
      <c r="H49" s="21">
        <v>72</v>
      </c>
      <c r="I49" s="21">
        <v>86</v>
      </c>
      <c r="J49" s="21">
        <v>50</v>
      </c>
      <c r="K49" s="21">
        <v>43</v>
      </c>
      <c r="L49" s="206">
        <v>62</v>
      </c>
      <c r="M49" s="9"/>
      <c r="N49" s="9"/>
      <c r="O49" s="30"/>
      <c r="P49" s="19"/>
      <c r="Q49" s="288"/>
      <c r="R49" s="259"/>
      <c r="S49" s="9"/>
    </row>
    <row r="50" spans="2:19" ht="12.75">
      <c r="B50" s="14" t="s">
        <v>18</v>
      </c>
      <c r="D50" s="9"/>
      <c r="E50" s="293">
        <v>1141</v>
      </c>
      <c r="F50" s="293">
        <v>1155</v>
      </c>
      <c r="G50" s="293">
        <v>1240</v>
      </c>
      <c r="H50" s="293">
        <v>1314</v>
      </c>
      <c r="I50" s="293">
        <v>1356</v>
      </c>
      <c r="J50" s="293">
        <v>1328</v>
      </c>
      <c r="K50" s="293">
        <v>1358</v>
      </c>
      <c r="L50" s="294">
        <v>1340</v>
      </c>
      <c r="M50" s="9"/>
      <c r="N50" s="9"/>
      <c r="O50" s="30">
        <v>-2.2</v>
      </c>
      <c r="P50" s="19">
        <v>-5.8</v>
      </c>
      <c r="Q50" s="288">
        <v>-8.6</v>
      </c>
      <c r="R50" s="259">
        <v>-8.1</v>
      </c>
      <c r="S50" s="9"/>
    </row>
    <row r="51" spans="3:19" ht="12.75">
      <c r="C51" s="9"/>
      <c r="D51" s="9"/>
      <c r="E51" s="21"/>
      <c r="F51" s="21"/>
      <c r="G51" s="21"/>
      <c r="H51" s="21"/>
      <c r="I51" s="21"/>
      <c r="J51" s="21"/>
      <c r="K51" s="21"/>
      <c r="L51" s="206"/>
      <c r="M51" s="9"/>
      <c r="N51" s="9"/>
      <c r="O51" s="30"/>
      <c r="P51" s="19"/>
      <c r="Q51" s="288"/>
      <c r="R51" s="259"/>
      <c r="S51" s="9"/>
    </row>
    <row r="52" spans="2:19" ht="12.75">
      <c r="B52" s="9" t="s">
        <v>104</v>
      </c>
      <c r="D52" s="9"/>
      <c r="E52" s="21">
        <v>916</v>
      </c>
      <c r="F52" s="21">
        <v>851</v>
      </c>
      <c r="G52" s="21">
        <v>824</v>
      </c>
      <c r="H52" s="21">
        <v>822</v>
      </c>
      <c r="I52" s="21">
        <v>816</v>
      </c>
      <c r="J52" s="21">
        <v>787</v>
      </c>
      <c r="K52" s="21">
        <v>775</v>
      </c>
      <c r="L52" s="206">
        <v>726</v>
      </c>
      <c r="M52" s="9"/>
      <c r="N52" s="9"/>
      <c r="O52" s="30"/>
      <c r="P52" s="19"/>
      <c r="Q52" s="288"/>
      <c r="R52" s="259"/>
      <c r="S52" s="9"/>
    </row>
    <row r="53" spans="2:19" ht="12.75">
      <c r="B53" s="9" t="s">
        <v>23</v>
      </c>
      <c r="D53" s="9"/>
      <c r="E53" s="21">
        <v>225</v>
      </c>
      <c r="F53" s="21">
        <v>230</v>
      </c>
      <c r="G53" s="21">
        <v>240</v>
      </c>
      <c r="H53" s="21">
        <v>236</v>
      </c>
      <c r="I53" s="21">
        <v>236</v>
      </c>
      <c r="J53" s="21">
        <v>239</v>
      </c>
      <c r="K53" s="21">
        <v>228</v>
      </c>
      <c r="L53" s="206">
        <v>236</v>
      </c>
      <c r="M53" s="9"/>
      <c r="N53" s="9"/>
      <c r="O53" s="30"/>
      <c r="P53" s="19"/>
      <c r="Q53" s="288"/>
      <c r="R53" s="259"/>
      <c r="S53" s="9"/>
    </row>
    <row r="54" spans="2:19" ht="12.75">
      <c r="B54" s="9" t="s">
        <v>21</v>
      </c>
      <c r="D54" s="9"/>
      <c r="E54" s="21">
        <v>89</v>
      </c>
      <c r="F54" s="21">
        <v>94</v>
      </c>
      <c r="G54" s="21">
        <v>98</v>
      </c>
      <c r="H54" s="21">
        <v>110</v>
      </c>
      <c r="I54" s="21">
        <v>116</v>
      </c>
      <c r="J54" s="21">
        <v>123</v>
      </c>
      <c r="K54" s="21">
        <v>121</v>
      </c>
      <c r="L54" s="206">
        <v>137</v>
      </c>
      <c r="M54" s="9"/>
      <c r="N54" s="9"/>
      <c r="O54" s="30"/>
      <c r="P54" s="19"/>
      <c r="Q54" s="288"/>
      <c r="R54" s="259"/>
      <c r="S54" s="9"/>
    </row>
    <row r="55" spans="2:19" ht="12.75">
      <c r="B55" s="9" t="s">
        <v>105</v>
      </c>
      <c r="D55" s="9"/>
      <c r="E55" s="21">
        <v>7</v>
      </c>
      <c r="F55" s="21">
        <v>6</v>
      </c>
      <c r="G55" s="21">
        <v>6</v>
      </c>
      <c r="H55" s="21">
        <v>8</v>
      </c>
      <c r="I55" s="21">
        <v>7</v>
      </c>
      <c r="J55" s="21">
        <v>8</v>
      </c>
      <c r="K55" s="21">
        <v>8</v>
      </c>
      <c r="L55" s="206">
        <v>7</v>
      </c>
      <c r="M55" s="9"/>
      <c r="N55" s="9"/>
      <c r="O55" s="30"/>
      <c r="P55" s="19"/>
      <c r="Q55" s="288"/>
      <c r="R55" s="259"/>
      <c r="S55" s="9"/>
    </row>
    <row r="56" spans="2:19" ht="12.75">
      <c r="B56" s="9" t="s">
        <v>24</v>
      </c>
      <c r="D56" s="9"/>
      <c r="E56" s="21">
        <v>57</v>
      </c>
      <c r="F56" s="21">
        <v>54</v>
      </c>
      <c r="G56" s="21">
        <v>46</v>
      </c>
      <c r="H56" s="21">
        <v>58</v>
      </c>
      <c r="I56" s="21">
        <v>67</v>
      </c>
      <c r="J56" s="21">
        <v>69</v>
      </c>
      <c r="K56" s="21">
        <v>78</v>
      </c>
      <c r="L56" s="206">
        <v>80</v>
      </c>
      <c r="M56" s="9"/>
      <c r="N56" s="9"/>
      <c r="O56" s="30"/>
      <c r="P56" s="19"/>
      <c r="Q56" s="288"/>
      <c r="R56" s="259"/>
      <c r="S56" s="9"/>
    </row>
    <row r="57" spans="2:19" ht="12.75">
      <c r="B57" s="14" t="s">
        <v>19</v>
      </c>
      <c r="D57" s="9"/>
      <c r="E57" s="293">
        <v>1294</v>
      </c>
      <c r="F57" s="293">
        <v>1235</v>
      </c>
      <c r="G57" s="293">
        <v>1214</v>
      </c>
      <c r="H57" s="293">
        <v>1234</v>
      </c>
      <c r="I57" s="293">
        <v>1242</v>
      </c>
      <c r="J57" s="293">
        <v>1226</v>
      </c>
      <c r="K57" s="293">
        <v>1210</v>
      </c>
      <c r="L57" s="294">
        <v>1186</v>
      </c>
      <c r="M57" s="9"/>
      <c r="N57" s="9"/>
      <c r="O57" s="30">
        <v>-4</v>
      </c>
      <c r="P57" s="19">
        <v>-0.7</v>
      </c>
      <c r="Q57" s="288">
        <v>-1.4</v>
      </c>
      <c r="R57" s="259">
        <v>-4.7</v>
      </c>
      <c r="S57" s="9"/>
    </row>
    <row r="58" spans="4:19" ht="12.75">
      <c r="D58" s="9"/>
      <c r="E58" s="21"/>
      <c r="F58" s="21"/>
      <c r="G58" s="21"/>
      <c r="H58" s="21"/>
      <c r="I58" s="21"/>
      <c r="J58" s="21"/>
      <c r="K58" s="21"/>
      <c r="L58" s="206"/>
      <c r="M58" s="9"/>
      <c r="N58" s="9"/>
      <c r="O58" s="30"/>
      <c r="P58" s="19"/>
      <c r="Q58" s="288"/>
      <c r="R58" s="259"/>
      <c r="S58" s="9"/>
    </row>
    <row r="59" spans="2:19" ht="12.75">
      <c r="B59" s="9" t="s">
        <v>36</v>
      </c>
      <c r="D59" s="9"/>
      <c r="E59" s="21">
        <v>1076</v>
      </c>
      <c r="F59" s="21">
        <v>1059</v>
      </c>
      <c r="G59" s="21">
        <v>1132</v>
      </c>
      <c r="H59" s="21">
        <v>1228</v>
      </c>
      <c r="I59" s="21">
        <v>1263</v>
      </c>
      <c r="J59" s="21">
        <v>1253</v>
      </c>
      <c r="K59" s="21">
        <v>1285</v>
      </c>
      <c r="L59" s="206">
        <v>1260</v>
      </c>
      <c r="M59" s="9"/>
      <c r="N59" s="9"/>
      <c r="O59" s="30">
        <v>-0.1</v>
      </c>
      <c r="P59" s="19">
        <v>-0.9</v>
      </c>
      <c r="Q59" s="288">
        <v>-5</v>
      </c>
      <c r="R59" s="291">
        <v>-7.4</v>
      </c>
      <c r="S59" s="9"/>
    </row>
    <row r="60" spans="2:19" ht="12.75">
      <c r="B60" s="9" t="s">
        <v>63</v>
      </c>
      <c r="D60" s="9"/>
      <c r="E60" s="21">
        <v>-89</v>
      </c>
      <c r="F60" s="21">
        <v>-58</v>
      </c>
      <c r="G60" s="21">
        <v>-53</v>
      </c>
      <c r="H60" s="21">
        <v>-73</v>
      </c>
      <c r="I60" s="21">
        <v>-95</v>
      </c>
      <c r="J60" s="21">
        <v>-66</v>
      </c>
      <c r="K60" s="21">
        <v>-59</v>
      </c>
      <c r="L60" s="206">
        <v>-76</v>
      </c>
      <c r="M60" s="9"/>
      <c r="N60" s="9"/>
      <c r="O60" s="29"/>
      <c r="P60" s="29"/>
      <c r="Q60" s="289"/>
      <c r="R60" s="260"/>
      <c r="S60" s="9"/>
    </row>
    <row r="61" spans="3:19" ht="13.5" thickBot="1">
      <c r="C61" s="9"/>
      <c r="D61" s="9"/>
      <c r="E61" s="27">
        <v>6063</v>
      </c>
      <c r="F61" s="27">
        <v>6099</v>
      </c>
      <c r="G61" s="27">
        <v>6418</v>
      </c>
      <c r="H61" s="27">
        <v>6768</v>
      </c>
      <c r="I61" s="27">
        <v>6886</v>
      </c>
      <c r="J61" s="27">
        <v>7013</v>
      </c>
      <c r="K61" s="27">
        <v>7219</v>
      </c>
      <c r="L61" s="207">
        <v>7064</v>
      </c>
      <c r="M61" s="9"/>
      <c r="N61" s="9"/>
      <c r="O61" s="19">
        <v>-1.8</v>
      </c>
      <c r="P61" s="19">
        <v>-1.4</v>
      </c>
      <c r="Q61" s="288">
        <v>-3.3</v>
      </c>
      <c r="R61" s="259">
        <v>-4.4</v>
      </c>
      <c r="S61" s="9"/>
    </row>
    <row r="62" spans="3:19" ht="13.5" thickTop="1">
      <c r="C62" s="9"/>
      <c r="D62" s="9"/>
      <c r="E62" s="21"/>
      <c r="F62" s="21"/>
      <c r="G62" s="21"/>
      <c r="H62" s="156"/>
      <c r="I62" s="156"/>
      <c r="J62" s="21"/>
      <c r="K62" s="21"/>
      <c r="L62" s="206"/>
      <c r="M62" s="9"/>
      <c r="N62" s="9"/>
      <c r="O62" s="30"/>
      <c r="P62" s="19"/>
      <c r="Q62" s="288"/>
      <c r="R62" s="259"/>
      <c r="S62" s="9"/>
    </row>
    <row r="63" spans="1:19" ht="14.25" customHeight="1">
      <c r="A63" s="14" t="s">
        <v>214</v>
      </c>
      <c r="B63" s="14"/>
      <c r="C63" s="9"/>
      <c r="D63" s="9"/>
      <c r="E63" s="21"/>
      <c r="F63" s="21"/>
      <c r="G63" s="21"/>
      <c r="H63" s="156"/>
      <c r="I63" s="156"/>
      <c r="J63" s="21"/>
      <c r="K63" s="21"/>
      <c r="L63" s="206"/>
      <c r="M63" s="9"/>
      <c r="N63" s="9"/>
      <c r="O63" s="19"/>
      <c r="P63" s="19"/>
      <c r="Q63" s="288"/>
      <c r="R63" s="259"/>
      <c r="S63" s="9"/>
    </row>
    <row r="64" spans="1:19" ht="7.5" customHeight="1">
      <c r="A64" s="14"/>
      <c r="B64" s="14"/>
      <c r="C64" s="9"/>
      <c r="D64" s="9"/>
      <c r="E64" s="21"/>
      <c r="F64" s="21"/>
      <c r="G64" s="21"/>
      <c r="H64" s="156"/>
      <c r="I64" s="156"/>
      <c r="J64" s="21"/>
      <c r="K64" s="21"/>
      <c r="L64" s="206"/>
      <c r="M64" s="9"/>
      <c r="N64" s="9"/>
      <c r="O64" s="19"/>
      <c r="P64" s="19"/>
      <c r="Q64" s="288"/>
      <c r="R64" s="259"/>
      <c r="S64" s="9"/>
    </row>
    <row r="65" spans="1:19" ht="13.5" thickBot="1">
      <c r="A65" s="14" t="s">
        <v>65</v>
      </c>
      <c r="B65" s="14"/>
      <c r="C65" s="14"/>
      <c r="D65" s="14"/>
      <c r="E65" s="17">
        <v>1220</v>
      </c>
      <c r="F65" s="17">
        <v>1303</v>
      </c>
      <c r="G65" s="17">
        <v>1266</v>
      </c>
      <c r="H65" s="17">
        <v>1330</v>
      </c>
      <c r="I65" s="17">
        <v>1421</v>
      </c>
      <c r="J65" s="17">
        <v>1393</v>
      </c>
      <c r="K65" s="17">
        <v>1357</v>
      </c>
      <c r="L65" s="205">
        <v>1700</v>
      </c>
      <c r="M65" s="14"/>
      <c r="N65" s="9"/>
      <c r="O65" s="19">
        <v>6.3</v>
      </c>
      <c r="P65" s="19">
        <v>3.5</v>
      </c>
      <c r="Q65" s="288">
        <v>-1.9</v>
      </c>
      <c r="R65" s="291">
        <v>-2.5</v>
      </c>
      <c r="S65" s="9"/>
    </row>
    <row r="66" spans="1:19" ht="7.5" customHeight="1" thickTop="1">
      <c r="A66" s="14"/>
      <c r="B66" s="14"/>
      <c r="C66" s="14"/>
      <c r="D66" s="14"/>
      <c r="E66" s="21"/>
      <c r="F66" s="21"/>
      <c r="G66" s="21"/>
      <c r="H66" s="21"/>
      <c r="I66" s="21"/>
      <c r="J66" s="21"/>
      <c r="K66" s="21"/>
      <c r="L66" s="206"/>
      <c r="M66" s="14"/>
      <c r="N66" s="9"/>
      <c r="O66" s="19"/>
      <c r="P66" s="19"/>
      <c r="Q66" s="288"/>
      <c r="R66" s="259"/>
      <c r="S66" s="9"/>
    </row>
    <row r="67" spans="2:19" ht="12.75">
      <c r="B67" s="9" t="s">
        <v>104</v>
      </c>
      <c r="D67" s="9"/>
      <c r="E67" s="21">
        <v>953</v>
      </c>
      <c r="F67" s="21">
        <v>1021</v>
      </c>
      <c r="G67" s="21">
        <v>986</v>
      </c>
      <c r="H67" s="21">
        <v>1035</v>
      </c>
      <c r="I67" s="21">
        <v>1086</v>
      </c>
      <c r="J67" s="21">
        <v>1039</v>
      </c>
      <c r="K67" s="21">
        <v>981</v>
      </c>
      <c r="L67" s="206">
        <v>1232</v>
      </c>
      <c r="M67" s="9"/>
      <c r="N67" s="9"/>
      <c r="O67" s="19">
        <v>4.9</v>
      </c>
      <c r="P67" s="19">
        <v>-0.1</v>
      </c>
      <c r="Q67" s="288">
        <v>-5.3</v>
      </c>
      <c r="R67" s="259">
        <v>-4.6</v>
      </c>
      <c r="S67" s="9"/>
    </row>
    <row r="68" spans="2:19" ht="12.75">
      <c r="B68" s="9" t="s">
        <v>23</v>
      </c>
      <c r="D68" s="9"/>
      <c r="E68" s="21">
        <v>94</v>
      </c>
      <c r="F68" s="21">
        <v>115</v>
      </c>
      <c r="G68" s="21">
        <v>112</v>
      </c>
      <c r="H68" s="21">
        <v>110</v>
      </c>
      <c r="I68" s="21">
        <v>119</v>
      </c>
      <c r="J68" s="21">
        <v>121</v>
      </c>
      <c r="K68" s="21">
        <v>110</v>
      </c>
      <c r="L68" s="206">
        <v>127</v>
      </c>
      <c r="M68" s="9"/>
      <c r="N68" s="9"/>
      <c r="O68" s="19">
        <v>11.2</v>
      </c>
      <c r="P68" s="19">
        <v>0.8</v>
      </c>
      <c r="Q68" s="288">
        <v>-6</v>
      </c>
      <c r="R68" s="259">
        <v>-0.2</v>
      </c>
      <c r="S68" s="9"/>
    </row>
    <row r="69" spans="2:19" ht="12.75">
      <c r="B69" s="9" t="s">
        <v>21</v>
      </c>
      <c r="D69" s="9"/>
      <c r="E69" s="21">
        <v>44</v>
      </c>
      <c r="F69" s="21">
        <v>45</v>
      </c>
      <c r="G69" s="21">
        <v>50</v>
      </c>
      <c r="H69" s="21">
        <v>54</v>
      </c>
      <c r="I69" s="21">
        <v>61</v>
      </c>
      <c r="J69" s="21">
        <v>67</v>
      </c>
      <c r="K69" s="21">
        <v>69</v>
      </c>
      <c r="L69" s="206">
        <v>90</v>
      </c>
      <c r="M69" s="9"/>
      <c r="N69" s="9"/>
      <c r="O69" s="19">
        <v>22</v>
      </c>
      <c r="P69" s="19">
        <v>54.5</v>
      </c>
      <c r="Q69" s="288">
        <v>25.5</v>
      </c>
      <c r="R69" s="259">
        <v>24</v>
      </c>
      <c r="S69" s="9"/>
    </row>
    <row r="70" spans="2:19" ht="12.75">
      <c r="B70" s="9" t="s">
        <v>105</v>
      </c>
      <c r="D70" s="9"/>
      <c r="E70" s="21">
        <v>4</v>
      </c>
      <c r="F70" s="21">
        <v>4</v>
      </c>
      <c r="G70" s="21">
        <v>4</v>
      </c>
      <c r="H70" s="21">
        <v>4</v>
      </c>
      <c r="I70" s="21">
        <v>11</v>
      </c>
      <c r="J70" s="21">
        <v>26</v>
      </c>
      <c r="K70" s="21">
        <v>47</v>
      </c>
      <c r="L70" s="206">
        <v>64</v>
      </c>
      <c r="M70" s="9"/>
      <c r="N70" s="9"/>
      <c r="O70" s="19">
        <v>20</v>
      </c>
      <c r="P70" s="29">
        <v>0</v>
      </c>
      <c r="Q70" s="289">
        <v>40</v>
      </c>
      <c r="R70" s="259">
        <v>5.5</v>
      </c>
      <c r="S70" s="9"/>
    </row>
    <row r="71" spans="2:19" ht="12.75">
      <c r="B71" s="9" t="s">
        <v>24</v>
      </c>
      <c r="D71" s="9"/>
      <c r="E71" s="26">
        <v>48</v>
      </c>
      <c r="F71" s="26">
        <v>31</v>
      </c>
      <c r="G71" s="26">
        <v>24</v>
      </c>
      <c r="H71" s="26">
        <v>42</v>
      </c>
      <c r="I71" s="26">
        <v>56</v>
      </c>
      <c r="J71" s="26">
        <v>37</v>
      </c>
      <c r="K71" s="26">
        <v>38</v>
      </c>
      <c r="L71" s="209">
        <v>60</v>
      </c>
      <c r="M71" s="9"/>
      <c r="N71" s="9"/>
      <c r="O71" s="31">
        <v>0</v>
      </c>
      <c r="P71" s="19">
        <v>12.1</v>
      </c>
      <c r="Q71" s="289">
        <v>36</v>
      </c>
      <c r="R71" s="259">
        <v>4</v>
      </c>
      <c r="S71" s="9"/>
    </row>
    <row r="72" spans="2:19" ht="13.5" thickBot="1">
      <c r="B72" s="14" t="s">
        <v>84</v>
      </c>
      <c r="D72" s="9"/>
      <c r="E72" s="27">
        <v>1143</v>
      </c>
      <c r="F72" s="27">
        <v>1216</v>
      </c>
      <c r="G72" s="27">
        <v>1176</v>
      </c>
      <c r="H72" s="27">
        <v>1245</v>
      </c>
      <c r="I72" s="27">
        <v>1333</v>
      </c>
      <c r="J72" s="27">
        <v>1290</v>
      </c>
      <c r="K72" s="27">
        <v>1245</v>
      </c>
      <c r="L72" s="207">
        <v>1573</v>
      </c>
      <c r="M72" s="9"/>
      <c r="N72" s="9"/>
      <c r="O72" s="19">
        <v>5.9</v>
      </c>
      <c r="P72" s="19">
        <v>2.3</v>
      </c>
      <c r="Q72" s="288">
        <v>-3</v>
      </c>
      <c r="R72" s="259">
        <v>-2.6</v>
      </c>
      <c r="S72" s="9"/>
    </row>
    <row r="73" spans="3:19" ht="13.5" thickTop="1">
      <c r="C73" s="9"/>
      <c r="D73" s="9"/>
      <c r="E73" s="21"/>
      <c r="F73" s="21"/>
      <c r="G73" s="21"/>
      <c r="H73" s="21"/>
      <c r="I73" s="21"/>
      <c r="J73" s="21"/>
      <c r="K73" s="21"/>
      <c r="L73" s="206"/>
      <c r="M73" s="9"/>
      <c r="N73" s="9"/>
      <c r="O73" s="30"/>
      <c r="P73" s="30"/>
      <c r="Q73" s="19"/>
      <c r="R73" s="259"/>
      <c r="S73" s="9"/>
    </row>
    <row r="74" spans="1:19" ht="12.75">
      <c r="A74" s="14"/>
      <c r="B74" s="9" t="s">
        <v>104</v>
      </c>
      <c r="D74" s="9"/>
      <c r="E74" s="21">
        <v>301</v>
      </c>
      <c r="F74" s="21">
        <v>332</v>
      </c>
      <c r="G74" s="21">
        <v>295</v>
      </c>
      <c r="H74" s="21">
        <v>299</v>
      </c>
      <c r="I74" s="21">
        <v>324</v>
      </c>
      <c r="J74" s="21">
        <v>332</v>
      </c>
      <c r="K74" s="21">
        <v>336</v>
      </c>
      <c r="L74" s="206">
        <v>570</v>
      </c>
      <c r="M74" s="9"/>
      <c r="N74" s="9"/>
      <c r="O74" s="30"/>
      <c r="P74" s="30"/>
      <c r="Q74" s="30"/>
      <c r="R74" s="200"/>
      <c r="S74" s="9"/>
    </row>
    <row r="75" spans="1:19" ht="12.75">
      <c r="A75" s="14"/>
      <c r="B75" s="9" t="s">
        <v>23</v>
      </c>
      <c r="D75" s="9"/>
      <c r="E75" s="21">
        <v>13</v>
      </c>
      <c r="F75" s="21">
        <v>23</v>
      </c>
      <c r="G75" s="21">
        <v>25</v>
      </c>
      <c r="H75" s="21">
        <v>21</v>
      </c>
      <c r="I75" s="21">
        <v>23</v>
      </c>
      <c r="J75" s="21">
        <v>24</v>
      </c>
      <c r="K75" s="21">
        <v>24</v>
      </c>
      <c r="L75" s="206">
        <v>42</v>
      </c>
      <c r="M75" s="9"/>
      <c r="N75" s="9"/>
      <c r="O75" s="30"/>
      <c r="P75" s="30"/>
      <c r="Q75" s="30"/>
      <c r="R75" s="200"/>
      <c r="S75" s="9"/>
    </row>
    <row r="76" spans="1:19" ht="12.75">
      <c r="A76" s="14"/>
      <c r="B76" s="9" t="s">
        <v>21</v>
      </c>
      <c r="D76" s="9"/>
      <c r="E76" s="21">
        <v>21</v>
      </c>
      <c r="F76" s="21">
        <v>18</v>
      </c>
      <c r="G76" s="21">
        <v>20</v>
      </c>
      <c r="H76" s="21">
        <v>21</v>
      </c>
      <c r="I76" s="21">
        <v>24</v>
      </c>
      <c r="J76" s="21">
        <v>25</v>
      </c>
      <c r="K76" s="21">
        <v>29</v>
      </c>
      <c r="L76" s="206">
        <v>50</v>
      </c>
      <c r="M76" s="9"/>
      <c r="N76" s="9"/>
      <c r="O76" s="30"/>
      <c r="P76" s="30"/>
      <c r="Q76" s="30"/>
      <c r="R76" s="200"/>
      <c r="S76" s="9"/>
    </row>
    <row r="77" spans="1:19" ht="12.75">
      <c r="A77" s="14"/>
      <c r="B77" s="9" t="s">
        <v>105</v>
      </c>
      <c r="D77" s="9"/>
      <c r="E77" s="31">
        <v>0</v>
      </c>
      <c r="F77" s="31">
        <v>0</v>
      </c>
      <c r="G77" s="31">
        <v>0</v>
      </c>
      <c r="H77" s="31">
        <v>0</v>
      </c>
      <c r="I77" s="31">
        <v>0</v>
      </c>
      <c r="J77" s="31">
        <v>0</v>
      </c>
      <c r="K77" s="21">
        <v>24</v>
      </c>
      <c r="L77" s="206">
        <v>41</v>
      </c>
      <c r="M77" s="9"/>
      <c r="N77" s="9"/>
      <c r="O77" s="30"/>
      <c r="P77" s="30"/>
      <c r="Q77" s="30"/>
      <c r="R77" s="200"/>
      <c r="S77" s="9"/>
    </row>
    <row r="78" spans="1:19" ht="12.75">
      <c r="A78" s="14"/>
      <c r="B78" s="9" t="s">
        <v>24</v>
      </c>
      <c r="D78" s="9"/>
      <c r="E78" s="21">
        <v>7</v>
      </c>
      <c r="F78" s="21">
        <v>8</v>
      </c>
      <c r="G78" s="21">
        <v>7</v>
      </c>
      <c r="H78" s="21">
        <v>7</v>
      </c>
      <c r="I78" s="21">
        <v>9</v>
      </c>
      <c r="J78" s="21">
        <v>10</v>
      </c>
      <c r="K78" s="21">
        <v>16</v>
      </c>
      <c r="L78" s="206">
        <v>22</v>
      </c>
      <c r="M78" s="9"/>
      <c r="N78" s="9"/>
      <c r="O78" s="30"/>
      <c r="P78" s="30"/>
      <c r="Q78" s="30"/>
      <c r="R78" s="200"/>
      <c r="S78" s="9"/>
    </row>
    <row r="79" spans="2:19" ht="12.75">
      <c r="B79" s="14" t="s">
        <v>190</v>
      </c>
      <c r="D79" s="9"/>
      <c r="E79" s="293">
        <v>342</v>
      </c>
      <c r="F79" s="293">
        <v>381</v>
      </c>
      <c r="G79" s="293">
        <v>347</v>
      </c>
      <c r="H79" s="293">
        <v>348</v>
      </c>
      <c r="I79" s="293">
        <v>380</v>
      </c>
      <c r="J79" s="293">
        <v>391</v>
      </c>
      <c r="K79" s="293">
        <v>429</v>
      </c>
      <c r="L79" s="294">
        <v>725</v>
      </c>
      <c r="M79" s="9"/>
      <c r="N79" s="9"/>
      <c r="O79" s="30">
        <v>13.8</v>
      </c>
      <c r="P79" s="19">
        <v>15.3</v>
      </c>
      <c r="Q79" s="288">
        <v>11.1</v>
      </c>
      <c r="R79" s="259">
        <v>5.2</v>
      </c>
      <c r="S79" s="9"/>
    </row>
    <row r="80" spans="3:19" ht="12.75">
      <c r="C80" s="9"/>
      <c r="D80" s="9"/>
      <c r="E80" s="21"/>
      <c r="F80" s="21"/>
      <c r="G80" s="21"/>
      <c r="H80" s="21"/>
      <c r="I80" s="21"/>
      <c r="J80" s="21"/>
      <c r="K80" s="21"/>
      <c r="L80" s="206"/>
      <c r="M80" s="9"/>
      <c r="N80" s="9"/>
      <c r="O80" s="30"/>
      <c r="P80" s="19"/>
      <c r="Q80" s="288"/>
      <c r="R80" s="259"/>
      <c r="S80" s="9"/>
    </row>
    <row r="81" spans="2:19" ht="12.75">
      <c r="B81" s="9" t="s">
        <v>36</v>
      </c>
      <c r="D81" s="9"/>
      <c r="E81" s="21">
        <v>801</v>
      </c>
      <c r="F81" s="21">
        <v>835</v>
      </c>
      <c r="G81" s="21">
        <v>829</v>
      </c>
      <c r="H81" s="21">
        <v>897</v>
      </c>
      <c r="I81" s="21">
        <v>953</v>
      </c>
      <c r="J81" s="21">
        <v>899</v>
      </c>
      <c r="K81" s="21">
        <v>816</v>
      </c>
      <c r="L81" s="206">
        <v>848</v>
      </c>
      <c r="M81" s="9"/>
      <c r="N81" s="9"/>
      <c r="O81" s="30">
        <v>3.1</v>
      </c>
      <c r="P81" s="19">
        <v>-2.7</v>
      </c>
      <c r="Q81" s="288">
        <v>-8.8</v>
      </c>
      <c r="R81" s="291">
        <v>-9.6</v>
      </c>
      <c r="S81" s="9"/>
    </row>
    <row r="82" spans="2:19" ht="12.75">
      <c r="B82" s="9" t="s">
        <v>63</v>
      </c>
      <c r="D82" s="9"/>
      <c r="E82" s="31">
        <v>0</v>
      </c>
      <c r="F82" s="29">
        <v>0</v>
      </c>
      <c r="G82" s="31">
        <v>0</v>
      </c>
      <c r="H82" s="28">
        <v>0</v>
      </c>
      <c r="I82" s="31">
        <v>0</v>
      </c>
      <c r="J82" s="31">
        <v>0</v>
      </c>
      <c r="K82" s="31">
        <v>0</v>
      </c>
      <c r="L82" s="210">
        <v>0</v>
      </c>
      <c r="M82" s="9"/>
      <c r="N82" s="9"/>
      <c r="O82" s="29"/>
      <c r="P82" s="29"/>
      <c r="Q82" s="289"/>
      <c r="R82" s="260"/>
      <c r="S82" s="9"/>
    </row>
    <row r="83" spans="3:19" ht="13.5" thickBot="1">
      <c r="C83" s="9"/>
      <c r="D83" s="9"/>
      <c r="E83" s="27">
        <v>1143</v>
      </c>
      <c r="F83" s="27">
        <v>1216</v>
      </c>
      <c r="G83" s="27">
        <v>1176</v>
      </c>
      <c r="H83" s="27">
        <v>1245</v>
      </c>
      <c r="I83" s="27">
        <v>1333</v>
      </c>
      <c r="J83" s="27">
        <v>1290</v>
      </c>
      <c r="K83" s="27">
        <v>1245</v>
      </c>
      <c r="L83" s="207">
        <v>1573</v>
      </c>
      <c r="M83" s="9"/>
      <c r="N83" s="9"/>
      <c r="O83" s="30">
        <v>5.9</v>
      </c>
      <c r="P83" s="30">
        <v>2.3</v>
      </c>
      <c r="Q83" s="199">
        <v>-3</v>
      </c>
      <c r="R83" s="200">
        <v>-2.6</v>
      </c>
      <c r="S83" s="9"/>
    </row>
    <row r="84" spans="3:19" ht="13.5" thickTop="1">
      <c r="C84" s="9"/>
      <c r="D84" s="9"/>
      <c r="E84" s="206"/>
      <c r="F84" s="206"/>
      <c r="G84" s="206"/>
      <c r="H84" s="206"/>
      <c r="I84" s="206"/>
      <c r="J84" s="21"/>
      <c r="K84" s="21"/>
      <c r="L84" s="206"/>
      <c r="M84" s="9"/>
      <c r="N84" s="9"/>
      <c r="O84" s="30"/>
      <c r="P84" s="30"/>
      <c r="Q84" s="199"/>
      <c r="R84" s="200"/>
      <c r="S84" s="9"/>
    </row>
    <row r="85" spans="1:19" ht="14.25" customHeight="1">
      <c r="A85" s="14" t="s">
        <v>215</v>
      </c>
      <c r="B85" s="14"/>
      <c r="C85" s="9"/>
      <c r="D85" s="9"/>
      <c r="E85" s="21"/>
      <c r="F85" s="21"/>
      <c r="G85" s="21"/>
      <c r="H85" s="21"/>
      <c r="I85" s="21"/>
      <c r="J85" s="21"/>
      <c r="K85" s="21"/>
      <c r="L85" s="206"/>
      <c r="M85" s="9"/>
      <c r="N85" s="9"/>
      <c r="O85" s="19"/>
      <c r="P85" s="19"/>
      <c r="Q85" s="288"/>
      <c r="R85" s="259"/>
      <c r="S85" s="9"/>
    </row>
    <row r="86" spans="1:19" ht="7.5" customHeight="1">
      <c r="A86" s="14"/>
      <c r="B86" s="14"/>
      <c r="C86" s="9"/>
      <c r="D86" s="9"/>
      <c r="E86" s="21"/>
      <c r="F86" s="21"/>
      <c r="G86" s="21"/>
      <c r="H86" s="21"/>
      <c r="I86" s="21"/>
      <c r="J86" s="21"/>
      <c r="K86" s="21"/>
      <c r="L86" s="206"/>
      <c r="M86" s="9"/>
      <c r="N86" s="9"/>
      <c r="O86" s="19"/>
      <c r="P86" s="19"/>
      <c r="Q86" s="288"/>
      <c r="R86" s="259"/>
      <c r="S86" s="9"/>
    </row>
    <row r="87" spans="1:19" ht="13.5" thickBot="1">
      <c r="A87" s="14" t="s">
        <v>65</v>
      </c>
      <c r="B87" s="14"/>
      <c r="C87" s="14"/>
      <c r="D87" s="14"/>
      <c r="E87" s="17">
        <v>1060</v>
      </c>
      <c r="F87" s="17">
        <v>1193</v>
      </c>
      <c r="G87" s="17">
        <v>1282</v>
      </c>
      <c r="H87" s="17">
        <v>1307</v>
      </c>
      <c r="I87" s="17">
        <v>1350</v>
      </c>
      <c r="J87" s="17">
        <v>1514</v>
      </c>
      <c r="K87" s="17">
        <v>1648</v>
      </c>
      <c r="L87" s="205">
        <v>1572</v>
      </c>
      <c r="M87" s="14"/>
      <c r="N87" s="9"/>
      <c r="O87" s="19">
        <v>12.5</v>
      </c>
      <c r="P87" s="19">
        <v>9.2</v>
      </c>
      <c r="Q87" s="288">
        <v>4.7</v>
      </c>
      <c r="R87" s="291">
        <v>13.7</v>
      </c>
      <c r="S87" s="9"/>
    </row>
    <row r="88" spans="1:19" ht="7.5" customHeight="1" thickTop="1">
      <c r="A88" s="14"/>
      <c r="B88" s="14"/>
      <c r="C88" s="14"/>
      <c r="D88" s="14"/>
      <c r="E88" s="21"/>
      <c r="F88" s="21"/>
      <c r="G88" s="21"/>
      <c r="H88" s="21"/>
      <c r="I88" s="21"/>
      <c r="J88" s="21"/>
      <c r="K88" s="21"/>
      <c r="L88" s="206"/>
      <c r="M88" s="14"/>
      <c r="N88" s="9"/>
      <c r="O88" s="19"/>
      <c r="P88" s="19"/>
      <c r="Q88" s="288"/>
      <c r="R88" s="259"/>
      <c r="S88" s="9"/>
    </row>
    <row r="89" spans="2:19" ht="12.75">
      <c r="B89" s="9" t="s">
        <v>104</v>
      </c>
      <c r="D89" s="9"/>
      <c r="E89" s="21">
        <v>828</v>
      </c>
      <c r="F89" s="21">
        <v>886</v>
      </c>
      <c r="G89" s="21">
        <v>927</v>
      </c>
      <c r="H89" s="21">
        <v>992</v>
      </c>
      <c r="I89" s="21">
        <v>1008</v>
      </c>
      <c r="J89" s="21">
        <v>1130</v>
      </c>
      <c r="K89" s="21">
        <v>1219</v>
      </c>
      <c r="L89" s="206">
        <v>1177</v>
      </c>
      <c r="M89" s="9"/>
      <c r="N89" s="9"/>
      <c r="O89" s="19">
        <v>7.4</v>
      </c>
      <c r="P89" s="19">
        <v>6.7</v>
      </c>
      <c r="Q89" s="288">
        <v>1.5</v>
      </c>
      <c r="R89" s="259">
        <v>10.7</v>
      </c>
      <c r="S89" s="9"/>
    </row>
    <row r="90" spans="2:19" ht="12.75">
      <c r="B90" s="9" t="s">
        <v>23</v>
      </c>
      <c r="D90" s="9"/>
      <c r="E90" s="21">
        <v>85</v>
      </c>
      <c r="F90" s="21">
        <v>98</v>
      </c>
      <c r="G90" s="21">
        <v>104</v>
      </c>
      <c r="H90" s="21">
        <v>102</v>
      </c>
      <c r="I90" s="21">
        <v>106</v>
      </c>
      <c r="J90" s="21">
        <v>110</v>
      </c>
      <c r="K90" s="21">
        <v>115</v>
      </c>
      <c r="L90" s="206">
        <v>113</v>
      </c>
      <c r="M90" s="9"/>
      <c r="N90" s="9"/>
      <c r="O90" s="19">
        <v>10.3</v>
      </c>
      <c r="P90" s="19">
        <v>4.9</v>
      </c>
      <c r="Q90" s="288">
        <v>3.5</v>
      </c>
      <c r="R90" s="259">
        <v>5.9</v>
      </c>
      <c r="S90" s="9"/>
    </row>
    <row r="91" spans="2:19" ht="12.75">
      <c r="B91" s="9" t="s">
        <v>21</v>
      </c>
      <c r="D91" s="9"/>
      <c r="E91" s="21">
        <v>23</v>
      </c>
      <c r="F91" s="21">
        <v>37</v>
      </c>
      <c r="G91" s="21">
        <v>89</v>
      </c>
      <c r="H91" s="21">
        <v>58</v>
      </c>
      <c r="I91" s="21">
        <v>73</v>
      </c>
      <c r="J91" s="21">
        <v>77</v>
      </c>
      <c r="K91" s="21">
        <v>86</v>
      </c>
      <c r="L91" s="206">
        <v>90</v>
      </c>
      <c r="M91" s="9"/>
      <c r="N91" s="9"/>
      <c r="O91" s="212" t="s">
        <v>216</v>
      </c>
      <c r="P91" s="19">
        <v>44.4</v>
      </c>
      <c r="Q91" s="288">
        <v>87</v>
      </c>
      <c r="R91" s="259">
        <v>30.8</v>
      </c>
      <c r="S91" s="9"/>
    </row>
    <row r="92" spans="2:19" ht="12.75">
      <c r="B92" s="9" t="s">
        <v>105</v>
      </c>
      <c r="D92" s="9"/>
      <c r="E92" s="21">
        <v>7</v>
      </c>
      <c r="F92" s="21">
        <v>8</v>
      </c>
      <c r="G92" s="21">
        <v>10</v>
      </c>
      <c r="H92" s="21">
        <v>11</v>
      </c>
      <c r="I92" s="21">
        <v>12</v>
      </c>
      <c r="J92" s="21">
        <v>14</v>
      </c>
      <c r="K92" s="21">
        <v>16</v>
      </c>
      <c r="L92" s="206">
        <v>18</v>
      </c>
      <c r="M92" s="9"/>
      <c r="N92" s="9"/>
      <c r="O92" s="212">
        <v>100</v>
      </c>
      <c r="P92" s="19">
        <v>55.6</v>
      </c>
      <c r="Q92" s="288">
        <v>60</v>
      </c>
      <c r="R92" s="259">
        <v>58.6</v>
      </c>
      <c r="S92" s="9"/>
    </row>
    <row r="93" spans="2:19" ht="12.75">
      <c r="B93" s="9" t="s">
        <v>24</v>
      </c>
      <c r="D93" s="9"/>
      <c r="E93" s="26">
        <v>53</v>
      </c>
      <c r="F93" s="26">
        <v>67</v>
      </c>
      <c r="G93" s="26">
        <v>75</v>
      </c>
      <c r="H93" s="26">
        <v>61</v>
      </c>
      <c r="I93" s="26">
        <v>58</v>
      </c>
      <c r="J93" s="26">
        <v>71</v>
      </c>
      <c r="K93" s="26">
        <v>115</v>
      </c>
      <c r="L93" s="209">
        <v>93</v>
      </c>
      <c r="M93" s="9"/>
      <c r="N93" s="9"/>
      <c r="O93" s="19">
        <v>-2.4</v>
      </c>
      <c r="P93" s="19">
        <v>2.1</v>
      </c>
      <c r="Q93" s="288">
        <v>-15.8</v>
      </c>
      <c r="R93" s="259">
        <v>57.1</v>
      </c>
      <c r="S93" s="9"/>
    </row>
    <row r="94" spans="2:19" ht="13.5" thickBot="1">
      <c r="B94" s="14" t="s">
        <v>84</v>
      </c>
      <c r="D94" s="9"/>
      <c r="E94" s="27">
        <v>996</v>
      </c>
      <c r="F94" s="27">
        <v>1096</v>
      </c>
      <c r="G94" s="27">
        <v>1205</v>
      </c>
      <c r="H94" s="27">
        <v>1224</v>
      </c>
      <c r="I94" s="27">
        <v>1257</v>
      </c>
      <c r="J94" s="27">
        <v>1402</v>
      </c>
      <c r="K94" s="27">
        <v>1551</v>
      </c>
      <c r="L94" s="207">
        <v>1491</v>
      </c>
      <c r="M94" s="9"/>
      <c r="N94" s="9"/>
      <c r="O94" s="19">
        <v>11.4</v>
      </c>
      <c r="P94" s="19">
        <v>8.4</v>
      </c>
      <c r="Q94" s="288">
        <v>3.9</v>
      </c>
      <c r="R94" s="259">
        <v>14.3</v>
      </c>
      <c r="S94" s="9"/>
    </row>
    <row r="95" spans="2:19" ht="13.5" thickTop="1">
      <c r="B95" s="14"/>
      <c r="D95" s="9"/>
      <c r="E95" s="21"/>
      <c r="F95" s="21"/>
      <c r="G95" s="21"/>
      <c r="H95" s="21"/>
      <c r="I95" s="21"/>
      <c r="J95" s="21"/>
      <c r="K95" s="21"/>
      <c r="L95" s="206"/>
      <c r="M95" s="9"/>
      <c r="N95" s="9"/>
      <c r="O95" s="19"/>
      <c r="P95" s="19"/>
      <c r="Q95" s="288"/>
      <c r="R95" s="259"/>
      <c r="S95" s="9"/>
    </row>
    <row r="96" spans="1:19" ht="12.75">
      <c r="A96" s="14"/>
      <c r="B96" s="9" t="s">
        <v>104</v>
      </c>
      <c r="D96" s="9"/>
      <c r="E96" s="21">
        <v>403</v>
      </c>
      <c r="F96" s="21">
        <v>436</v>
      </c>
      <c r="G96" s="21">
        <v>446</v>
      </c>
      <c r="H96" s="21">
        <v>495</v>
      </c>
      <c r="I96" s="21">
        <v>502</v>
      </c>
      <c r="J96" s="21">
        <v>588</v>
      </c>
      <c r="K96" s="21">
        <v>656</v>
      </c>
      <c r="L96" s="206">
        <v>632</v>
      </c>
      <c r="M96" s="9"/>
      <c r="N96" s="9"/>
      <c r="O96" s="30"/>
      <c r="P96" s="30"/>
      <c r="Q96" s="199"/>
      <c r="R96" s="200"/>
      <c r="S96" s="9"/>
    </row>
    <row r="97" spans="1:19" ht="12.75">
      <c r="A97" s="14"/>
      <c r="B97" s="9" t="s">
        <v>23</v>
      </c>
      <c r="D97" s="9"/>
      <c r="E97" s="21">
        <v>16</v>
      </c>
      <c r="F97" s="21">
        <v>19</v>
      </c>
      <c r="G97" s="21">
        <v>19</v>
      </c>
      <c r="H97" s="21">
        <v>18</v>
      </c>
      <c r="I97" s="21">
        <v>20</v>
      </c>
      <c r="J97" s="21">
        <v>23</v>
      </c>
      <c r="K97" s="21">
        <v>24</v>
      </c>
      <c r="L97" s="206">
        <v>22</v>
      </c>
      <c r="M97" s="9"/>
      <c r="N97" s="9"/>
      <c r="O97" s="30"/>
      <c r="P97" s="30"/>
      <c r="Q97" s="199"/>
      <c r="R97" s="200"/>
      <c r="S97" s="9"/>
    </row>
    <row r="98" spans="1:19" ht="12.75">
      <c r="A98" s="14"/>
      <c r="B98" s="9" t="s">
        <v>21</v>
      </c>
      <c r="D98" s="9"/>
      <c r="E98" s="21">
        <v>6</v>
      </c>
      <c r="F98" s="21">
        <v>12</v>
      </c>
      <c r="G98" s="21">
        <v>68</v>
      </c>
      <c r="H98" s="21">
        <v>33</v>
      </c>
      <c r="I98" s="21">
        <v>34</v>
      </c>
      <c r="J98" s="21">
        <v>38</v>
      </c>
      <c r="K98" s="21">
        <v>43</v>
      </c>
      <c r="L98" s="206">
        <v>43</v>
      </c>
      <c r="M98" s="9"/>
      <c r="N98" s="9"/>
      <c r="O98" s="30"/>
      <c r="P98" s="30"/>
      <c r="Q98" s="199"/>
      <c r="R98" s="200"/>
      <c r="S98" s="9"/>
    </row>
    <row r="99" spans="1:19" ht="12.75">
      <c r="A99" s="14"/>
      <c r="B99" s="9" t="s">
        <v>105</v>
      </c>
      <c r="D99" s="9"/>
      <c r="E99" s="31">
        <v>0</v>
      </c>
      <c r="F99" s="31">
        <v>0</v>
      </c>
      <c r="G99" s="31">
        <v>0</v>
      </c>
      <c r="H99" s="31">
        <v>0</v>
      </c>
      <c r="I99" s="31">
        <v>0</v>
      </c>
      <c r="J99" s="31">
        <v>0</v>
      </c>
      <c r="K99" s="31">
        <v>0</v>
      </c>
      <c r="L99" s="210">
        <v>0</v>
      </c>
      <c r="M99" s="9"/>
      <c r="N99" s="9"/>
      <c r="O99" s="30"/>
      <c r="P99" s="30"/>
      <c r="Q99" s="199"/>
      <c r="R99" s="200"/>
      <c r="S99" s="9"/>
    </row>
    <row r="100" spans="1:19" ht="12.75">
      <c r="A100" s="14"/>
      <c r="B100" s="9" t="s">
        <v>24</v>
      </c>
      <c r="D100" s="9"/>
      <c r="E100" s="21">
        <v>15</v>
      </c>
      <c r="F100" s="21">
        <v>24</v>
      </c>
      <c r="G100" s="21">
        <v>26</v>
      </c>
      <c r="H100" s="21">
        <v>19</v>
      </c>
      <c r="I100" s="21">
        <v>18</v>
      </c>
      <c r="J100" s="21">
        <v>25</v>
      </c>
      <c r="K100" s="21">
        <v>68</v>
      </c>
      <c r="L100" s="206">
        <v>58</v>
      </c>
      <c r="M100" s="9"/>
      <c r="N100" s="9"/>
      <c r="O100" s="30"/>
      <c r="P100" s="30"/>
      <c r="Q100" s="199"/>
      <c r="R100" s="200"/>
      <c r="S100" s="9"/>
    </row>
    <row r="101" spans="2:19" ht="12.75">
      <c r="B101" s="14" t="s">
        <v>116</v>
      </c>
      <c r="D101" s="9"/>
      <c r="E101" s="293">
        <v>440</v>
      </c>
      <c r="F101" s="293">
        <v>491</v>
      </c>
      <c r="G101" s="293">
        <v>559</v>
      </c>
      <c r="H101" s="293">
        <v>565</v>
      </c>
      <c r="I101" s="293">
        <v>574</v>
      </c>
      <c r="J101" s="293">
        <v>674</v>
      </c>
      <c r="K101" s="293">
        <v>791</v>
      </c>
      <c r="L101" s="294">
        <v>755</v>
      </c>
      <c r="M101" s="9"/>
      <c r="N101" s="9"/>
      <c r="O101" s="31">
        <v>0</v>
      </c>
      <c r="P101" s="31">
        <v>0</v>
      </c>
      <c r="Q101" s="31">
        <v>0</v>
      </c>
      <c r="R101" s="259">
        <v>23</v>
      </c>
      <c r="S101" s="9"/>
    </row>
    <row r="102" spans="2:19" ht="12.75">
      <c r="B102" s="14"/>
      <c r="D102" s="9"/>
      <c r="E102" s="21"/>
      <c r="F102" s="21"/>
      <c r="G102" s="21"/>
      <c r="H102" s="21"/>
      <c r="I102" s="21"/>
      <c r="J102" s="21"/>
      <c r="K102" s="21"/>
      <c r="L102" s="206"/>
      <c r="M102" s="9"/>
      <c r="N102" s="9"/>
      <c r="O102" s="30"/>
      <c r="P102" s="19"/>
      <c r="Q102" s="288"/>
      <c r="R102" s="259"/>
      <c r="S102" s="9"/>
    </row>
    <row r="103" spans="2:19" ht="12.75">
      <c r="B103" s="9" t="s">
        <v>36</v>
      </c>
      <c r="D103" s="9"/>
      <c r="E103" s="21">
        <v>556</v>
      </c>
      <c r="F103" s="21">
        <v>605</v>
      </c>
      <c r="G103" s="21">
        <v>646</v>
      </c>
      <c r="H103" s="21">
        <v>659</v>
      </c>
      <c r="I103" s="21">
        <v>684</v>
      </c>
      <c r="J103" s="21">
        <v>728</v>
      </c>
      <c r="K103" s="21">
        <v>760</v>
      </c>
      <c r="L103" s="206">
        <v>737</v>
      </c>
      <c r="M103" s="9"/>
      <c r="N103" s="9"/>
      <c r="O103" s="30">
        <v>11.4</v>
      </c>
      <c r="P103" s="19">
        <v>8.4</v>
      </c>
      <c r="Q103" s="288">
        <v>3.9</v>
      </c>
      <c r="R103" s="291">
        <v>2.6</v>
      </c>
      <c r="S103" s="9"/>
    </row>
    <row r="104" spans="2:19" ht="12.75">
      <c r="B104" s="9" t="s">
        <v>63</v>
      </c>
      <c r="D104" s="9"/>
      <c r="E104" s="31">
        <v>0</v>
      </c>
      <c r="F104" s="29">
        <v>0</v>
      </c>
      <c r="G104" s="31">
        <v>0</v>
      </c>
      <c r="H104" s="29">
        <v>0</v>
      </c>
      <c r="I104" s="28">
        <v>-1</v>
      </c>
      <c r="J104" s="31">
        <v>0</v>
      </c>
      <c r="K104" s="31">
        <v>0</v>
      </c>
      <c r="L104" s="206">
        <v>-1</v>
      </c>
      <c r="M104" s="9"/>
      <c r="N104" s="9"/>
      <c r="O104" s="29"/>
      <c r="P104" s="29"/>
      <c r="Q104" s="289"/>
      <c r="R104" s="260"/>
      <c r="S104" s="9"/>
    </row>
    <row r="105" spans="3:19" ht="13.5" thickBot="1">
      <c r="C105" s="9"/>
      <c r="D105" s="9"/>
      <c r="E105" s="27">
        <v>996</v>
      </c>
      <c r="F105" s="27">
        <v>1096</v>
      </c>
      <c r="G105" s="27">
        <v>1205</v>
      </c>
      <c r="H105" s="27">
        <v>1224</v>
      </c>
      <c r="I105" s="27">
        <v>1257</v>
      </c>
      <c r="J105" s="27">
        <v>1402</v>
      </c>
      <c r="K105" s="27">
        <v>1551</v>
      </c>
      <c r="L105" s="207">
        <v>1491</v>
      </c>
      <c r="M105" s="9"/>
      <c r="N105" s="9"/>
      <c r="O105" s="30">
        <v>11.4</v>
      </c>
      <c r="P105" s="30">
        <v>8.4</v>
      </c>
      <c r="Q105" s="199">
        <v>3.9</v>
      </c>
      <c r="R105" s="200">
        <v>14.3</v>
      </c>
      <c r="S105" s="9"/>
    </row>
    <row r="106" spans="3:19" ht="13.5" thickTop="1">
      <c r="C106" s="9"/>
      <c r="D106" s="9"/>
      <c r="E106" s="21"/>
      <c r="F106" s="21"/>
      <c r="G106" s="21"/>
      <c r="H106" s="21"/>
      <c r="I106" s="21"/>
      <c r="J106" s="21"/>
      <c r="K106" s="21"/>
      <c r="L106" s="206"/>
      <c r="M106" s="9"/>
      <c r="N106" s="9"/>
      <c r="O106" s="19"/>
      <c r="P106" s="30"/>
      <c r="Q106" s="30"/>
      <c r="R106" s="200"/>
      <c r="S106" s="9"/>
    </row>
    <row r="107" spans="1:19" ht="12.75">
      <c r="A107" s="9" t="s">
        <v>96</v>
      </c>
      <c r="C107" s="9"/>
      <c r="D107" s="9"/>
      <c r="E107" s="21"/>
      <c r="F107" s="21"/>
      <c r="G107" s="21"/>
      <c r="H107" s="21"/>
      <c r="I107" s="156"/>
      <c r="J107" s="156"/>
      <c r="K107" s="156"/>
      <c r="L107" s="157"/>
      <c r="M107" s="9"/>
      <c r="N107" s="9"/>
      <c r="O107" s="19"/>
      <c r="P107" s="199"/>
      <c r="Q107" s="199"/>
      <c r="R107" s="200"/>
      <c r="S107" s="9"/>
    </row>
    <row r="108" spans="1:19" ht="12.75" customHeight="1">
      <c r="A108" s="45" t="s">
        <v>99</v>
      </c>
      <c r="B108" s="45"/>
      <c r="C108" s="330" t="s">
        <v>278</v>
      </c>
      <c r="D108" s="330"/>
      <c r="E108" s="330"/>
      <c r="F108" s="330"/>
      <c r="G108" s="330"/>
      <c r="H108" s="330"/>
      <c r="I108" s="330"/>
      <c r="J108" s="330"/>
      <c r="K108" s="330"/>
      <c r="L108" s="330"/>
      <c r="M108" s="330"/>
      <c r="N108" s="330"/>
      <c r="O108" s="330"/>
      <c r="P108" s="330"/>
      <c r="Q108" s="330"/>
      <c r="R108" s="330"/>
      <c r="S108" s="330"/>
    </row>
    <row r="109" spans="1:19" ht="12.75">
      <c r="A109" s="45"/>
      <c r="B109" s="45"/>
      <c r="C109" s="330"/>
      <c r="D109" s="330"/>
      <c r="E109" s="330"/>
      <c r="F109" s="330"/>
      <c r="G109" s="330"/>
      <c r="H109" s="330"/>
      <c r="I109" s="330"/>
      <c r="J109" s="330"/>
      <c r="K109" s="330"/>
      <c r="L109" s="330"/>
      <c r="M109" s="330"/>
      <c r="N109" s="330"/>
      <c r="O109" s="330"/>
      <c r="P109" s="330"/>
      <c r="Q109" s="330"/>
      <c r="R109" s="330"/>
      <c r="S109" s="330"/>
    </row>
    <row r="110" spans="1:3" ht="12.75">
      <c r="A110" s="45" t="s">
        <v>100</v>
      </c>
      <c r="C110" s="10" t="s">
        <v>274</v>
      </c>
    </row>
    <row r="111" spans="1:3" ht="12.75">
      <c r="A111" s="45"/>
      <c r="C111" s="10" t="s">
        <v>273</v>
      </c>
    </row>
    <row r="112" spans="1:2" ht="12.75">
      <c r="A112" s="33"/>
      <c r="B112" s="33"/>
    </row>
    <row r="113" spans="1:2" ht="12.75">
      <c r="A113" s="33"/>
      <c r="B113" s="33"/>
    </row>
    <row r="114" spans="1:2" ht="12.75">
      <c r="A114" s="33"/>
      <c r="B114" s="33"/>
    </row>
  </sheetData>
  <mergeCells count="2">
    <mergeCell ref="O1:R1"/>
    <mergeCell ref="C108:S109"/>
  </mergeCells>
  <printOptions/>
  <pageMargins left="0.7480314960629921" right="0.7480314960629921" top="0.984251968503937" bottom="0.984251968503937" header="0.5118110236220472" footer="0.5118110236220472"/>
  <pageSetup fitToHeight="1" fitToWidth="1" horizontalDpi="600" verticalDpi="600" orientation="portrait" paperSize="9" scale="48" r:id="rId1"/>
  <headerFooter alignWithMargins="0">
    <oddHeader>&amp;L&amp;"Vodafone Rg,Regular"Vodafone Group Plc&amp;C&amp;"Vodafone Rg,Regular"&amp;A</oddHeader>
  </headerFooter>
</worksheet>
</file>

<file path=xl/worksheets/sheet3.xml><?xml version="1.0" encoding="utf-8"?>
<worksheet xmlns="http://schemas.openxmlformats.org/spreadsheetml/2006/main" xmlns:r="http://schemas.openxmlformats.org/officeDocument/2006/relationships">
  <sheetPr codeName="Sheet3"/>
  <dimension ref="A1:S388"/>
  <sheetViews>
    <sheetView showGridLines="0" view="pageBreakPreview" zoomScaleNormal="85" zoomScaleSheetLayoutView="100" workbookViewId="0" topLeftCell="A1">
      <pane xSplit="2" ySplit="3" topLeftCell="C4" activePane="bottomRight" state="frozen"/>
      <selection pane="topLeft" activeCell="B55" sqref="B55:J61"/>
      <selection pane="topRight" activeCell="B55" sqref="B55:J61"/>
      <selection pane="bottomLeft" activeCell="B55" sqref="B55:J61"/>
      <selection pane="bottomRight" activeCell="A1" sqref="A1"/>
    </sheetView>
  </sheetViews>
  <sheetFormatPr defaultColWidth="9.140625" defaultRowHeight="12.75"/>
  <cols>
    <col min="1" max="1" width="3.140625" style="142" customWidth="1"/>
    <col min="2" max="2" width="33.140625" style="5" customWidth="1"/>
    <col min="3" max="3" width="3.7109375" style="5" customWidth="1"/>
    <col min="4" max="6" width="8.7109375" style="190" customWidth="1"/>
    <col min="7" max="7" width="8.7109375" style="191" customWidth="1"/>
    <col min="8" max="8" width="3.7109375" style="148" customWidth="1"/>
    <col min="9" max="9" width="8.7109375" style="190" customWidth="1"/>
    <col min="10" max="10" width="8.7109375" style="191" customWidth="1"/>
    <col min="11" max="11" width="4.7109375" style="190" customWidth="1"/>
    <col min="12" max="12" width="8.7109375" style="192" customWidth="1"/>
    <col min="13" max="13" width="8.7109375" style="246" customWidth="1"/>
    <col min="14" max="14" width="3.7109375" style="192" customWidth="1"/>
    <col min="15" max="15" width="8.7109375" style="192" customWidth="1"/>
    <col min="16" max="16" width="8.7109375" style="250" customWidth="1"/>
    <col min="17" max="17" width="3.7109375" style="5" customWidth="1"/>
    <col min="18" max="19" width="9.140625" style="142" customWidth="1"/>
    <col min="20" max="16384" width="9.140625" style="5" customWidth="1"/>
  </cols>
  <sheetData>
    <row r="1" spans="1:19" ht="14.25">
      <c r="A1" s="147"/>
      <c r="B1" s="142"/>
      <c r="C1" s="142"/>
      <c r="D1" s="331"/>
      <c r="E1" s="331"/>
      <c r="F1" s="331"/>
      <c r="G1" s="331"/>
      <c r="H1" s="331"/>
      <c r="I1" s="331"/>
      <c r="J1" s="226"/>
      <c r="K1" s="148"/>
      <c r="L1" s="332" t="s">
        <v>247</v>
      </c>
      <c r="M1" s="332"/>
      <c r="N1" s="332"/>
      <c r="O1" s="332"/>
      <c r="P1" s="332"/>
      <c r="Q1" s="149"/>
      <c r="R1" s="149"/>
      <c r="S1" s="149"/>
    </row>
    <row r="2" spans="2:17" ht="12.75">
      <c r="B2" s="142"/>
      <c r="C2" s="142"/>
      <c r="D2" s="150" t="s">
        <v>154</v>
      </c>
      <c r="E2" s="150" t="s">
        <v>155</v>
      </c>
      <c r="F2" s="150" t="s">
        <v>165</v>
      </c>
      <c r="G2" s="151" t="s">
        <v>196</v>
      </c>
      <c r="H2" s="150"/>
      <c r="I2" s="150" t="s">
        <v>156</v>
      </c>
      <c r="J2" s="151" t="s">
        <v>197</v>
      </c>
      <c r="K2" s="150"/>
      <c r="L2" s="152" t="s">
        <v>165</v>
      </c>
      <c r="M2" s="247" t="s">
        <v>196</v>
      </c>
      <c r="N2" s="152"/>
      <c r="O2" s="152" t="s">
        <v>156</v>
      </c>
      <c r="P2" s="247" t="s">
        <v>197</v>
      </c>
      <c r="Q2" s="142"/>
    </row>
    <row r="3" spans="4:16" s="142" customFormat="1" ht="12.75">
      <c r="D3" s="150" t="s">
        <v>80</v>
      </c>
      <c r="E3" s="150" t="s">
        <v>80</v>
      </c>
      <c r="F3" s="150" t="s">
        <v>80</v>
      </c>
      <c r="G3" s="151" t="s">
        <v>80</v>
      </c>
      <c r="H3" s="150"/>
      <c r="I3" s="150" t="s">
        <v>80</v>
      </c>
      <c r="J3" s="151" t="s">
        <v>80</v>
      </c>
      <c r="K3" s="150"/>
      <c r="L3" s="152"/>
      <c r="M3" s="247"/>
      <c r="N3" s="152"/>
      <c r="O3" s="152"/>
      <c r="P3" s="247"/>
    </row>
    <row r="4" spans="4:16" s="142" customFormat="1" ht="12.75">
      <c r="D4" s="150"/>
      <c r="E4" s="150"/>
      <c r="F4" s="150"/>
      <c r="G4" s="151"/>
      <c r="H4" s="150"/>
      <c r="I4" s="150"/>
      <c r="J4" s="151"/>
      <c r="K4" s="150"/>
      <c r="L4" s="152"/>
      <c r="M4" s="247"/>
      <c r="N4" s="152"/>
      <c r="O4" s="152"/>
      <c r="P4" s="247"/>
    </row>
    <row r="5" spans="1:16" s="142" customFormat="1" ht="12.75">
      <c r="A5" s="144" t="s">
        <v>248</v>
      </c>
      <c r="D5" s="148"/>
      <c r="E5" s="148"/>
      <c r="F5" s="148"/>
      <c r="G5" s="153"/>
      <c r="H5" s="148"/>
      <c r="I5" s="148"/>
      <c r="J5" s="153"/>
      <c r="K5" s="148"/>
      <c r="L5" s="154"/>
      <c r="M5" s="42"/>
      <c r="N5" s="154"/>
      <c r="O5" s="154"/>
      <c r="P5" s="42"/>
    </row>
    <row r="6" spans="2:17" ht="12.75">
      <c r="B6" s="155" t="s">
        <v>104</v>
      </c>
      <c r="C6" s="142"/>
      <c r="D6" s="156">
        <v>11781</v>
      </c>
      <c r="E6" s="156">
        <f>I6-D6</f>
        <v>12370</v>
      </c>
      <c r="F6" s="156">
        <v>13267</v>
      </c>
      <c r="G6" s="157">
        <f>J6-F6</f>
        <v>13639</v>
      </c>
      <c r="H6" s="156"/>
      <c r="I6" s="156">
        <v>24151</v>
      </c>
      <c r="J6" s="157">
        <v>26906</v>
      </c>
      <c r="K6" s="148"/>
      <c r="L6" s="158"/>
      <c r="M6" s="232"/>
      <c r="N6" s="158"/>
      <c r="O6" s="158"/>
      <c r="P6" s="232"/>
      <c r="Q6" s="142"/>
    </row>
    <row r="7" spans="2:17" ht="12.75">
      <c r="B7" s="155" t="s">
        <v>23</v>
      </c>
      <c r="C7" s="142"/>
      <c r="D7" s="156">
        <v>1888</v>
      </c>
      <c r="E7" s="156">
        <f>I7-D7</f>
        <v>2079</v>
      </c>
      <c r="F7" s="156">
        <v>2171</v>
      </c>
      <c r="G7" s="157">
        <f aca="true" t="shared" si="0" ref="G7:G28">J7-F7</f>
        <v>2302</v>
      </c>
      <c r="H7" s="156"/>
      <c r="I7" s="156">
        <v>3967</v>
      </c>
      <c r="J7" s="157">
        <v>4473</v>
      </c>
      <c r="K7" s="148"/>
      <c r="L7" s="158"/>
      <c r="M7" s="232"/>
      <c r="N7" s="158"/>
      <c r="O7" s="158"/>
      <c r="P7" s="232"/>
      <c r="Q7" s="142"/>
    </row>
    <row r="8" spans="2:17" ht="12.75">
      <c r="B8" s="155" t="s">
        <v>21</v>
      </c>
      <c r="C8" s="142"/>
      <c r="D8" s="156">
        <v>936</v>
      </c>
      <c r="E8" s="156">
        <f>I8-D8</f>
        <v>1183</v>
      </c>
      <c r="F8" s="156">
        <v>1391</v>
      </c>
      <c r="G8" s="157">
        <f t="shared" si="0"/>
        <v>1655</v>
      </c>
      <c r="H8" s="156"/>
      <c r="I8" s="156">
        <v>2119</v>
      </c>
      <c r="J8" s="157">
        <v>3046</v>
      </c>
      <c r="K8" s="148"/>
      <c r="L8" s="158"/>
      <c r="M8" s="232"/>
      <c r="N8" s="158"/>
      <c r="O8" s="158"/>
      <c r="P8" s="232"/>
      <c r="Q8" s="142"/>
    </row>
    <row r="9" spans="2:17" ht="14.25">
      <c r="B9" s="155" t="s">
        <v>170</v>
      </c>
      <c r="C9" s="142"/>
      <c r="D9" s="156">
        <v>802</v>
      </c>
      <c r="E9" s="156">
        <f>I9-D9</f>
        <v>1072</v>
      </c>
      <c r="F9" s="156">
        <v>1237</v>
      </c>
      <c r="G9" s="157">
        <f t="shared" si="0"/>
        <v>1490</v>
      </c>
      <c r="H9" s="156"/>
      <c r="I9" s="156">
        <v>1874</v>
      </c>
      <c r="J9" s="157">
        <v>2727</v>
      </c>
      <c r="K9" s="148"/>
      <c r="L9" s="158"/>
      <c r="M9" s="232"/>
      <c r="N9" s="158"/>
      <c r="O9" s="158"/>
      <c r="P9" s="232"/>
      <c r="Q9" s="142"/>
    </row>
    <row r="10" spans="2:17" ht="12.75">
      <c r="B10" s="155" t="s">
        <v>24</v>
      </c>
      <c r="C10" s="142"/>
      <c r="D10" s="159">
        <v>480</v>
      </c>
      <c r="E10" s="159">
        <f>I10-D10</f>
        <v>451</v>
      </c>
      <c r="F10" s="159">
        <v>574</v>
      </c>
      <c r="G10" s="160">
        <f t="shared" si="0"/>
        <v>568</v>
      </c>
      <c r="H10" s="156"/>
      <c r="I10" s="159">
        <v>931</v>
      </c>
      <c r="J10" s="160">
        <v>1142</v>
      </c>
      <c r="K10" s="148"/>
      <c r="L10" s="158"/>
      <c r="M10" s="232"/>
      <c r="N10" s="158"/>
      <c r="O10" s="158"/>
      <c r="P10" s="232"/>
      <c r="Q10" s="142"/>
    </row>
    <row r="11" spans="1:19" s="4" customFormat="1" ht="12.75">
      <c r="A11" s="144"/>
      <c r="B11" s="161" t="s">
        <v>84</v>
      </c>
      <c r="C11" s="162"/>
      <c r="D11" s="156">
        <f>SUM(D6:D10)</f>
        <v>15887</v>
      </c>
      <c r="E11" s="156">
        <f>SUM(E6:E10)</f>
        <v>17155</v>
      </c>
      <c r="F11" s="156">
        <f>SUM(F6:F10)</f>
        <v>18640</v>
      </c>
      <c r="G11" s="157">
        <f t="shared" si="0"/>
        <v>19654</v>
      </c>
      <c r="H11" s="157"/>
      <c r="I11" s="156">
        <f>SUM(I6:I10)</f>
        <v>33042</v>
      </c>
      <c r="J11" s="157">
        <f>SUM(J6:J10)</f>
        <v>38294</v>
      </c>
      <c r="K11" s="153"/>
      <c r="L11" s="158">
        <v>0.9</v>
      </c>
      <c r="M11" s="232">
        <v>-1.5</v>
      </c>
      <c r="N11" s="158" t="s">
        <v>79</v>
      </c>
      <c r="O11" s="158">
        <v>4.3</v>
      </c>
      <c r="P11" s="232">
        <v>-0.3</v>
      </c>
      <c r="Q11" s="144"/>
      <c r="R11" s="144"/>
      <c r="S11" s="144"/>
    </row>
    <row r="12" spans="2:17" ht="12.75">
      <c r="B12" s="155" t="s">
        <v>162</v>
      </c>
      <c r="C12" s="142"/>
      <c r="D12" s="159">
        <v>1107</v>
      </c>
      <c r="E12" s="159">
        <f>I12-D12</f>
        <v>1329</v>
      </c>
      <c r="F12" s="159">
        <v>1262</v>
      </c>
      <c r="G12" s="160">
        <f t="shared" si="0"/>
        <v>1461</v>
      </c>
      <c r="H12" s="156"/>
      <c r="I12" s="159">
        <v>2436</v>
      </c>
      <c r="J12" s="160">
        <v>2723</v>
      </c>
      <c r="K12" s="148"/>
      <c r="L12" s="158"/>
      <c r="M12" s="232"/>
      <c r="N12" s="158"/>
      <c r="O12" s="158"/>
      <c r="P12" s="232"/>
      <c r="Q12" s="142"/>
    </row>
    <row r="13" spans="1:19" s="4" customFormat="1" ht="12.75">
      <c r="A13" s="144"/>
      <c r="B13" s="161" t="s">
        <v>65</v>
      </c>
      <c r="C13" s="162"/>
      <c r="D13" s="156">
        <f>SUM(D11:D12)</f>
        <v>16994</v>
      </c>
      <c r="E13" s="156">
        <f>SUM(E11:E12)</f>
        <v>18484</v>
      </c>
      <c r="F13" s="156">
        <f>SUM(F11:F12)</f>
        <v>19902</v>
      </c>
      <c r="G13" s="157">
        <f t="shared" si="0"/>
        <v>21115</v>
      </c>
      <c r="H13" s="157"/>
      <c r="I13" s="156">
        <f>SUM(I11:I12)</f>
        <v>35478</v>
      </c>
      <c r="J13" s="157">
        <f>SUM(J11:J12)</f>
        <v>41017</v>
      </c>
      <c r="K13" s="153"/>
      <c r="L13" s="158">
        <v>0.9</v>
      </c>
      <c r="M13" s="232">
        <v>-1.6</v>
      </c>
      <c r="N13" s="158"/>
      <c r="O13" s="158">
        <v>4.2</v>
      </c>
      <c r="P13" s="232">
        <v>-0.4</v>
      </c>
      <c r="Q13" s="144"/>
      <c r="R13" s="144"/>
      <c r="S13" s="144"/>
    </row>
    <row r="14" spans="2:17" ht="12.75">
      <c r="B14" s="155" t="s">
        <v>166</v>
      </c>
      <c r="C14" s="142"/>
      <c r="D14" s="156">
        <v>-3908</v>
      </c>
      <c r="E14" s="156">
        <f>I14-D14</f>
        <v>-4355</v>
      </c>
      <c r="F14" s="156">
        <v>-4796</v>
      </c>
      <c r="G14" s="157">
        <f t="shared" si="0"/>
        <v>-5174</v>
      </c>
      <c r="H14" s="156"/>
      <c r="I14" s="156">
        <v>-8263</v>
      </c>
      <c r="J14" s="157">
        <v>-9970</v>
      </c>
      <c r="K14" s="148"/>
      <c r="L14" s="158"/>
      <c r="M14" s="232"/>
      <c r="N14" s="158"/>
      <c r="O14" s="158"/>
      <c r="P14" s="232"/>
      <c r="Q14" s="142"/>
    </row>
    <row r="15" spans="2:17" ht="12.75">
      <c r="B15" s="155" t="s">
        <v>167</v>
      </c>
      <c r="C15" s="142"/>
      <c r="D15" s="156">
        <v>-4426</v>
      </c>
      <c r="E15" s="156">
        <f>I15-D15</f>
        <v>-5119</v>
      </c>
      <c r="F15" s="156">
        <v>-5283</v>
      </c>
      <c r="G15" s="157">
        <f t="shared" si="0"/>
        <v>-5668</v>
      </c>
      <c r="H15" s="156"/>
      <c r="I15" s="156">
        <v>-9545</v>
      </c>
      <c r="J15" s="157">
        <v>-10951</v>
      </c>
      <c r="K15" s="148"/>
      <c r="L15" s="158"/>
      <c r="M15" s="232"/>
      <c r="N15" s="158"/>
      <c r="O15" s="158"/>
      <c r="P15" s="232"/>
      <c r="Q15" s="142"/>
    </row>
    <row r="16" spans="2:17" ht="12.75">
      <c r="B16" s="155" t="s">
        <v>28</v>
      </c>
      <c r="C16" s="142"/>
      <c r="D16" s="159">
        <v>-2095</v>
      </c>
      <c r="E16" s="159">
        <f>I16-D16</f>
        <v>-2397</v>
      </c>
      <c r="F16" s="159">
        <v>-2580</v>
      </c>
      <c r="G16" s="160">
        <f t="shared" si="0"/>
        <v>-3026</v>
      </c>
      <c r="H16" s="156"/>
      <c r="I16" s="159">
        <v>-4492</v>
      </c>
      <c r="J16" s="160">
        <v>-5606</v>
      </c>
      <c r="K16" s="148"/>
      <c r="L16" s="158"/>
      <c r="M16" s="232"/>
      <c r="N16" s="158"/>
      <c r="O16" s="158"/>
      <c r="P16" s="232"/>
      <c r="Q16" s="142"/>
    </row>
    <row r="17" spans="1:19" s="4" customFormat="1" ht="12.75">
      <c r="A17" s="144"/>
      <c r="B17" s="161" t="s">
        <v>22</v>
      </c>
      <c r="C17" s="162"/>
      <c r="D17" s="156">
        <f>SUM(D13:D16)</f>
        <v>6565</v>
      </c>
      <c r="E17" s="156">
        <f>SUM(E13:E16)</f>
        <v>6613</v>
      </c>
      <c r="F17" s="156">
        <f>SUM(F13:F16)</f>
        <v>7243</v>
      </c>
      <c r="G17" s="157">
        <f t="shared" si="0"/>
        <v>7247</v>
      </c>
      <c r="H17" s="157"/>
      <c r="I17" s="156">
        <f>SUM(I13:I16)</f>
        <v>13178</v>
      </c>
      <c r="J17" s="157">
        <f>SUM(J13:J16)</f>
        <v>14490</v>
      </c>
      <c r="K17" s="153"/>
      <c r="L17" s="158">
        <v>-3.2</v>
      </c>
      <c r="M17" s="232">
        <v>-3.9</v>
      </c>
      <c r="N17" s="158"/>
      <c r="O17" s="158">
        <v>2.6</v>
      </c>
      <c r="P17" s="232">
        <v>-3.5</v>
      </c>
      <c r="Q17" s="144"/>
      <c r="R17" s="144"/>
      <c r="S17" s="144"/>
    </row>
    <row r="18" spans="1:19" s="4" customFormat="1" ht="12.75">
      <c r="A18" s="144"/>
      <c r="B18" s="155" t="s">
        <v>180</v>
      </c>
      <c r="C18" s="162"/>
      <c r="D18" s="156"/>
      <c r="E18" s="156"/>
      <c r="F18" s="156"/>
      <c r="G18" s="157"/>
      <c r="H18" s="157"/>
      <c r="I18" s="156"/>
      <c r="J18" s="157"/>
      <c r="K18" s="153"/>
      <c r="L18" s="158"/>
      <c r="M18" s="232"/>
      <c r="N18" s="158"/>
      <c r="O18" s="158"/>
      <c r="P18" s="232"/>
      <c r="Q18" s="144"/>
      <c r="R18" s="144"/>
      <c r="S18" s="144"/>
    </row>
    <row r="19" spans="2:17" ht="12.75">
      <c r="B19" s="163" t="s">
        <v>181</v>
      </c>
      <c r="C19" s="142"/>
      <c r="D19" s="156">
        <v>-327</v>
      </c>
      <c r="E19" s="156">
        <f>I19-D19</f>
        <v>-399</v>
      </c>
      <c r="F19" s="156">
        <v>-391</v>
      </c>
      <c r="G19" s="157">
        <f t="shared" si="0"/>
        <v>-408</v>
      </c>
      <c r="H19" s="156"/>
      <c r="I19" s="156">
        <v>-726</v>
      </c>
      <c r="J19" s="157">
        <v>-799</v>
      </c>
      <c r="K19" s="148"/>
      <c r="L19" s="158"/>
      <c r="M19" s="232"/>
      <c r="N19" s="158"/>
      <c r="O19" s="158"/>
      <c r="P19" s="232"/>
      <c r="Q19" s="142"/>
    </row>
    <row r="20" spans="2:17" ht="12.75">
      <c r="B20" s="163" t="s">
        <v>225</v>
      </c>
      <c r="C20" s="142"/>
      <c r="D20" s="156">
        <v>-449</v>
      </c>
      <c r="E20" s="156">
        <f>I20-D20</f>
        <v>-460</v>
      </c>
      <c r="F20" s="156">
        <v>-490</v>
      </c>
      <c r="G20" s="157">
        <f t="shared" si="0"/>
        <v>-528</v>
      </c>
      <c r="H20" s="156"/>
      <c r="I20" s="156">
        <v>-909</v>
      </c>
      <c r="J20" s="157">
        <v>-1018</v>
      </c>
      <c r="K20" s="148"/>
      <c r="L20" s="158"/>
      <c r="M20" s="232"/>
      <c r="N20" s="158"/>
      <c r="O20" s="158"/>
      <c r="P20" s="232"/>
      <c r="Q20" s="142"/>
    </row>
    <row r="21" spans="2:17" ht="12.75">
      <c r="B21" s="163" t="s">
        <v>36</v>
      </c>
      <c r="C21" s="142"/>
      <c r="D21" s="156">
        <v>-2009</v>
      </c>
      <c r="E21" s="156">
        <f>I21-D21</f>
        <v>-2335</v>
      </c>
      <c r="F21" s="156">
        <v>-2383</v>
      </c>
      <c r="G21" s="157">
        <f t="shared" si="0"/>
        <v>-2624</v>
      </c>
      <c r="H21" s="156"/>
      <c r="I21" s="156">
        <v>-4344</v>
      </c>
      <c r="J21" s="157">
        <v>-5007</v>
      </c>
      <c r="K21" s="148"/>
      <c r="L21" s="158"/>
      <c r="M21" s="232"/>
      <c r="N21" s="158"/>
      <c r="O21" s="158"/>
      <c r="P21" s="232"/>
      <c r="Q21" s="142"/>
    </row>
    <row r="22" spans="2:17" ht="12.75">
      <c r="B22" s="155" t="s">
        <v>32</v>
      </c>
      <c r="C22" s="142"/>
      <c r="D22" s="159">
        <v>1443</v>
      </c>
      <c r="E22" s="159">
        <f>I22-D22</f>
        <v>1433</v>
      </c>
      <c r="F22" s="159">
        <v>1792</v>
      </c>
      <c r="G22" s="160">
        <f t="shared" si="0"/>
        <v>2299</v>
      </c>
      <c r="H22" s="156"/>
      <c r="I22" s="159">
        <v>2876</v>
      </c>
      <c r="J22" s="160">
        <v>4091</v>
      </c>
      <c r="K22" s="148"/>
      <c r="L22" s="158"/>
      <c r="M22" s="232"/>
      <c r="N22" s="158"/>
      <c r="O22" s="158"/>
      <c r="P22" s="232"/>
      <c r="Q22" s="142"/>
    </row>
    <row r="23" spans="1:19" s="4" customFormat="1" ht="12.75">
      <c r="A23" s="144"/>
      <c r="B23" s="161" t="s">
        <v>33</v>
      </c>
      <c r="C23" s="162"/>
      <c r="D23" s="156">
        <f>D17+D19+D20+D21+D22</f>
        <v>5223</v>
      </c>
      <c r="E23" s="156">
        <f>E17+E19+E20+E21+E22</f>
        <v>4852</v>
      </c>
      <c r="F23" s="156">
        <f>F17+F19+F20+F21+F22</f>
        <v>5771</v>
      </c>
      <c r="G23" s="157">
        <f t="shared" si="0"/>
        <v>5986</v>
      </c>
      <c r="H23" s="157"/>
      <c r="I23" s="156">
        <f>I17+I19+I20+I21+I22</f>
        <v>10075</v>
      </c>
      <c r="J23" s="157">
        <f>SUM(J17:J22)</f>
        <v>11757</v>
      </c>
      <c r="K23" s="153"/>
      <c r="L23" s="158">
        <v>-1</v>
      </c>
      <c r="M23" s="232">
        <v>5.1</v>
      </c>
      <c r="N23" s="158"/>
      <c r="O23" s="158">
        <v>5.7</v>
      </c>
      <c r="P23" s="232">
        <v>2</v>
      </c>
      <c r="Q23" s="144"/>
      <c r="R23" s="144"/>
      <c r="S23" s="144"/>
    </row>
    <row r="24" spans="2:17" ht="12.75">
      <c r="B24" s="155" t="s">
        <v>34</v>
      </c>
      <c r="C24" s="142"/>
      <c r="D24" s="156"/>
      <c r="E24" s="156"/>
      <c r="F24" s="156"/>
      <c r="G24" s="157"/>
      <c r="H24" s="156"/>
      <c r="I24" s="156"/>
      <c r="J24" s="157"/>
      <c r="K24" s="148"/>
      <c r="L24" s="158"/>
      <c r="M24" s="232"/>
      <c r="N24" s="158"/>
      <c r="O24" s="158"/>
      <c r="P24" s="232"/>
      <c r="Q24" s="142"/>
    </row>
    <row r="25" spans="2:17" ht="12.75">
      <c r="B25" s="163" t="s">
        <v>35</v>
      </c>
      <c r="C25" s="142"/>
      <c r="D25" s="164">
        <v>0</v>
      </c>
      <c r="E25" s="164">
        <f>I25-D25</f>
        <v>0</v>
      </c>
      <c r="F25" s="225">
        <v>-1700</v>
      </c>
      <c r="G25" s="157">
        <f>J25-F25</f>
        <v>-4200</v>
      </c>
      <c r="H25" s="156"/>
      <c r="I25" s="164">
        <v>0</v>
      </c>
      <c r="J25" s="261">
        <v>-5900</v>
      </c>
      <c r="K25" s="148"/>
      <c r="L25" s="158"/>
      <c r="M25" s="232"/>
      <c r="N25" s="158"/>
      <c r="O25" s="158"/>
      <c r="P25" s="232"/>
      <c r="Q25" s="142"/>
    </row>
    <row r="26" spans="2:17" ht="12.75">
      <c r="B26" s="163" t="s">
        <v>36</v>
      </c>
      <c r="C26" s="142"/>
      <c r="D26" s="156">
        <v>-15</v>
      </c>
      <c r="E26" s="156">
        <f>I26-D26</f>
        <v>-13</v>
      </c>
      <c r="F26" s="164">
        <v>0</v>
      </c>
      <c r="G26" s="165">
        <v>0</v>
      </c>
      <c r="H26" s="156"/>
      <c r="I26" s="156">
        <v>-28</v>
      </c>
      <c r="J26" s="165">
        <v>0</v>
      </c>
      <c r="K26" s="148"/>
      <c r="L26" s="158"/>
      <c r="M26" s="232"/>
      <c r="N26" s="158"/>
      <c r="O26" s="158"/>
      <c r="P26" s="232"/>
      <c r="Q26" s="142"/>
    </row>
    <row r="27" spans="2:17" ht="12.75">
      <c r="B27" s="163" t="s">
        <v>37</v>
      </c>
      <c r="C27" s="142"/>
      <c r="D27" s="164">
        <v>0</v>
      </c>
      <c r="E27" s="164">
        <f>I27-D27</f>
        <v>0</v>
      </c>
      <c r="F27" s="164">
        <v>0</v>
      </c>
      <c r="G27" s="165">
        <v>0</v>
      </c>
      <c r="H27" s="156"/>
      <c r="I27" s="164">
        <v>0</v>
      </c>
      <c r="J27" s="165">
        <v>0</v>
      </c>
      <c r="K27" s="148"/>
      <c r="L27" s="158"/>
      <c r="M27" s="232"/>
      <c r="N27" s="158"/>
      <c r="O27" s="158"/>
      <c r="P27" s="232"/>
      <c r="Q27" s="142"/>
    </row>
    <row r="28" spans="1:19" s="4" customFormat="1" ht="13.5" thickBot="1">
      <c r="A28" s="144"/>
      <c r="B28" s="161" t="s">
        <v>149</v>
      </c>
      <c r="C28" s="162"/>
      <c r="D28" s="166">
        <f>SUM(D23:D27)</f>
        <v>5208</v>
      </c>
      <c r="E28" s="166">
        <f>SUM(E23:E27)</f>
        <v>4839</v>
      </c>
      <c r="F28" s="166">
        <f>SUM(F23:F27)</f>
        <v>4071</v>
      </c>
      <c r="G28" s="167">
        <f t="shared" si="0"/>
        <v>1786</v>
      </c>
      <c r="H28" s="157"/>
      <c r="I28" s="166">
        <f>SUM(I23:I27)</f>
        <v>10047</v>
      </c>
      <c r="J28" s="167">
        <f>SUM(J23:J27)</f>
        <v>5857</v>
      </c>
      <c r="K28" s="153"/>
      <c r="L28" s="158"/>
      <c r="M28" s="232"/>
      <c r="N28" s="158"/>
      <c r="O28" s="158"/>
      <c r="P28" s="232"/>
      <c r="Q28" s="144"/>
      <c r="R28" s="144"/>
      <c r="S28" s="144"/>
    </row>
    <row r="29" spans="2:17" ht="13.5" thickTop="1">
      <c r="B29" s="142"/>
      <c r="C29" s="142"/>
      <c r="D29" s="156"/>
      <c r="E29" s="156"/>
      <c r="F29" s="156"/>
      <c r="G29" s="157"/>
      <c r="H29" s="156"/>
      <c r="I29" s="156"/>
      <c r="J29" s="157"/>
      <c r="K29" s="148"/>
      <c r="L29" s="158"/>
      <c r="M29" s="232"/>
      <c r="N29" s="158"/>
      <c r="O29" s="158"/>
      <c r="P29" s="232"/>
      <c r="Q29" s="142"/>
    </row>
    <row r="30" spans="1:19" s="4" customFormat="1" ht="12.75">
      <c r="A30" s="144"/>
      <c r="B30" s="161" t="s">
        <v>38</v>
      </c>
      <c r="C30" s="144"/>
      <c r="D30" s="154">
        <f>D17/D13</f>
        <v>0.38631281628810166</v>
      </c>
      <c r="E30" s="154">
        <f>E17/E13</f>
        <v>0.35776888119454664</v>
      </c>
      <c r="F30" s="154">
        <f>F17/F13</f>
        <v>0.36393327303788564</v>
      </c>
      <c r="G30" s="168">
        <f>G17/G13</f>
        <v>0.3432157234193701</v>
      </c>
      <c r="H30" s="169"/>
      <c r="I30" s="154">
        <f>I17/I13</f>
        <v>0.37144145667737755</v>
      </c>
      <c r="J30" s="168">
        <f>J17/J13</f>
        <v>0.35326815710559034</v>
      </c>
      <c r="K30" s="153"/>
      <c r="L30" s="158"/>
      <c r="M30" s="232"/>
      <c r="N30" s="158"/>
      <c r="O30" s="158"/>
      <c r="P30" s="232"/>
      <c r="Q30" s="144"/>
      <c r="R30" s="144"/>
      <c r="S30" s="144"/>
    </row>
    <row r="31" spans="2:17" ht="12.75">
      <c r="B31" s="163" t="s">
        <v>81</v>
      </c>
      <c r="C31" s="142"/>
      <c r="D31" s="156">
        <v>1982</v>
      </c>
      <c r="E31" s="156">
        <f>I31-D31</f>
        <v>3093</v>
      </c>
      <c r="F31" s="156">
        <v>2380</v>
      </c>
      <c r="G31" s="157">
        <f>J31-F31</f>
        <v>3529</v>
      </c>
      <c r="H31" s="156"/>
      <c r="I31" s="156">
        <v>5075</v>
      </c>
      <c r="J31" s="157">
        <v>5909</v>
      </c>
      <c r="K31" s="148"/>
      <c r="L31" s="158"/>
      <c r="M31" s="232"/>
      <c r="N31" s="158"/>
      <c r="O31" s="158"/>
      <c r="P31" s="232"/>
      <c r="Q31" s="142"/>
    </row>
    <row r="32" spans="2:17" ht="12.75">
      <c r="B32" s="142"/>
      <c r="C32" s="142"/>
      <c r="D32" s="156"/>
      <c r="E32" s="156"/>
      <c r="F32" s="156"/>
      <c r="G32" s="157"/>
      <c r="H32" s="156"/>
      <c r="I32" s="156"/>
      <c r="J32" s="157"/>
      <c r="K32" s="148"/>
      <c r="L32" s="158"/>
      <c r="M32" s="232"/>
      <c r="N32" s="158"/>
      <c r="O32" s="158"/>
      <c r="P32" s="232"/>
      <c r="Q32" s="142"/>
    </row>
    <row r="33" spans="1:17" ht="12.75">
      <c r="A33" s="144" t="s">
        <v>15</v>
      </c>
      <c r="B33" s="144"/>
      <c r="C33" s="142"/>
      <c r="D33" s="156"/>
      <c r="E33" s="156"/>
      <c r="F33" s="156"/>
      <c r="G33" s="157"/>
      <c r="H33" s="156"/>
      <c r="I33" s="156"/>
      <c r="J33" s="157"/>
      <c r="K33" s="148"/>
      <c r="L33" s="158"/>
      <c r="M33" s="232"/>
      <c r="N33" s="158"/>
      <c r="O33" s="158"/>
      <c r="P33" s="232"/>
      <c r="Q33" s="142"/>
    </row>
    <row r="34" spans="2:17" ht="12.75">
      <c r="B34" s="155" t="s">
        <v>104</v>
      </c>
      <c r="C34" s="142"/>
      <c r="D34" s="156">
        <v>8441</v>
      </c>
      <c r="E34" s="156">
        <f>I34-D34</f>
        <v>8550</v>
      </c>
      <c r="F34" s="156">
        <v>9147</v>
      </c>
      <c r="G34" s="157">
        <f>J34-F34</f>
        <v>9270</v>
      </c>
      <c r="H34" s="156"/>
      <c r="I34" s="156">
        <v>16991</v>
      </c>
      <c r="J34" s="157">
        <v>18417</v>
      </c>
      <c r="K34" s="148"/>
      <c r="L34" s="158"/>
      <c r="M34" s="232"/>
      <c r="N34" s="158"/>
      <c r="O34" s="158"/>
      <c r="P34" s="232"/>
      <c r="Q34" s="142"/>
    </row>
    <row r="35" spans="2:17" ht="12.75">
      <c r="B35" s="155" t="s">
        <v>23</v>
      </c>
      <c r="C35" s="142"/>
      <c r="D35" s="156">
        <v>1527</v>
      </c>
      <c r="E35" s="156">
        <f>I35-D35</f>
        <v>1650</v>
      </c>
      <c r="F35" s="156">
        <v>1734</v>
      </c>
      <c r="G35" s="157">
        <f aca="true" t="shared" si="1" ref="G35:G55">J35-F35</f>
        <v>1846</v>
      </c>
      <c r="H35" s="156"/>
      <c r="I35" s="156">
        <v>3177</v>
      </c>
      <c r="J35" s="157">
        <v>3580</v>
      </c>
      <c r="K35" s="148"/>
      <c r="L35" s="158"/>
      <c r="M35" s="232"/>
      <c r="N35" s="158"/>
      <c r="O35" s="158"/>
      <c r="P35" s="232"/>
      <c r="Q35" s="142"/>
    </row>
    <row r="36" spans="2:17" ht="12.75">
      <c r="B36" s="155" t="s">
        <v>21</v>
      </c>
      <c r="C36" s="142"/>
      <c r="D36" s="156">
        <v>817</v>
      </c>
      <c r="E36" s="156">
        <f>I36-D36</f>
        <v>962</v>
      </c>
      <c r="F36" s="156">
        <v>1145</v>
      </c>
      <c r="G36" s="157">
        <f t="shared" si="1"/>
        <v>1356</v>
      </c>
      <c r="H36" s="156"/>
      <c r="I36" s="156">
        <v>1779</v>
      </c>
      <c r="J36" s="157">
        <v>2501</v>
      </c>
      <c r="K36" s="148"/>
      <c r="L36" s="158"/>
      <c r="M36" s="232"/>
      <c r="N36" s="158"/>
      <c r="O36" s="158"/>
      <c r="P36" s="232"/>
      <c r="Q36" s="142"/>
    </row>
    <row r="37" spans="2:17" ht="12.75">
      <c r="B37" s="155" t="s">
        <v>105</v>
      </c>
      <c r="C37" s="142"/>
      <c r="D37" s="156">
        <v>780</v>
      </c>
      <c r="E37" s="156">
        <f>I37-D37</f>
        <v>1047</v>
      </c>
      <c r="F37" s="156">
        <v>1199</v>
      </c>
      <c r="G37" s="157">
        <f t="shared" si="1"/>
        <v>1388</v>
      </c>
      <c r="H37" s="156"/>
      <c r="I37" s="156">
        <v>1827</v>
      </c>
      <c r="J37" s="157">
        <v>2587</v>
      </c>
      <c r="K37" s="148"/>
      <c r="L37" s="158"/>
      <c r="M37" s="232"/>
      <c r="N37" s="158"/>
      <c r="O37" s="158"/>
      <c r="P37" s="232"/>
      <c r="Q37" s="142"/>
    </row>
    <row r="38" spans="2:17" ht="12.75">
      <c r="B38" s="155" t="s">
        <v>24</v>
      </c>
      <c r="C38" s="142"/>
      <c r="D38" s="159">
        <v>348</v>
      </c>
      <c r="E38" s="159">
        <f>I38-D38</f>
        <v>308</v>
      </c>
      <c r="F38" s="159">
        <v>429</v>
      </c>
      <c r="G38" s="160">
        <f t="shared" si="1"/>
        <v>372</v>
      </c>
      <c r="H38" s="156"/>
      <c r="I38" s="159">
        <v>656</v>
      </c>
      <c r="J38" s="160">
        <v>801</v>
      </c>
      <c r="K38" s="148"/>
      <c r="L38" s="158"/>
      <c r="M38" s="232"/>
      <c r="N38" s="158"/>
      <c r="O38" s="158"/>
      <c r="P38" s="232"/>
      <c r="Q38" s="142"/>
    </row>
    <row r="39" spans="1:19" s="4" customFormat="1" ht="12.75">
      <c r="A39" s="144"/>
      <c r="B39" s="161" t="s">
        <v>84</v>
      </c>
      <c r="C39" s="144"/>
      <c r="D39" s="156">
        <f>SUM(D34:D38)</f>
        <v>11913</v>
      </c>
      <c r="E39" s="156">
        <f>SUM(E34:E38)</f>
        <v>12517</v>
      </c>
      <c r="F39" s="156">
        <f>SUM(F34:F38)</f>
        <v>13654</v>
      </c>
      <c r="G39" s="157">
        <f t="shared" si="1"/>
        <v>14232</v>
      </c>
      <c r="H39" s="157"/>
      <c r="I39" s="156">
        <f>SUM(I34:I38)</f>
        <v>24430</v>
      </c>
      <c r="J39" s="157">
        <v>27886</v>
      </c>
      <c r="K39" s="153"/>
      <c r="L39" s="158">
        <v>-1</v>
      </c>
      <c r="M39" s="232">
        <v>-2.4</v>
      </c>
      <c r="N39" s="158"/>
      <c r="O39" s="158">
        <v>2.1</v>
      </c>
      <c r="P39" s="232">
        <v>-1.7</v>
      </c>
      <c r="Q39" s="144"/>
      <c r="R39" s="144"/>
      <c r="S39" s="144"/>
    </row>
    <row r="40" spans="2:17" ht="12.75">
      <c r="B40" s="155" t="s">
        <v>162</v>
      </c>
      <c r="C40" s="142"/>
      <c r="D40" s="159">
        <v>756</v>
      </c>
      <c r="E40" s="159">
        <f>I40-D40</f>
        <v>895</v>
      </c>
      <c r="F40" s="159">
        <v>826</v>
      </c>
      <c r="G40" s="160">
        <f t="shared" si="1"/>
        <v>922</v>
      </c>
      <c r="H40" s="156"/>
      <c r="I40" s="159">
        <v>1651</v>
      </c>
      <c r="J40" s="160">
        <v>1748</v>
      </c>
      <c r="K40" s="148"/>
      <c r="L40" s="158"/>
      <c r="M40" s="232"/>
      <c r="N40" s="158"/>
      <c r="O40" s="158"/>
      <c r="P40" s="232"/>
      <c r="Q40" s="142"/>
    </row>
    <row r="41" spans="1:19" s="4" customFormat="1" ht="12.75">
      <c r="A41" s="144"/>
      <c r="B41" s="161" t="s">
        <v>65</v>
      </c>
      <c r="C41" s="144"/>
      <c r="D41" s="156">
        <f>SUM(D39:D40)</f>
        <v>12669</v>
      </c>
      <c r="E41" s="156">
        <f>SUM(E39:E40)</f>
        <v>13412</v>
      </c>
      <c r="F41" s="156">
        <f>SUM(F39:F40)</f>
        <v>14480</v>
      </c>
      <c r="G41" s="157">
        <f t="shared" si="1"/>
        <v>15154</v>
      </c>
      <c r="H41" s="157"/>
      <c r="I41" s="156">
        <f>SUM(I39:I40)</f>
        <v>26081</v>
      </c>
      <c r="J41" s="157">
        <v>29634</v>
      </c>
      <c r="K41" s="153"/>
      <c r="L41" s="158">
        <v>-1.1</v>
      </c>
      <c r="M41" s="232">
        <v>-2.9</v>
      </c>
      <c r="N41" s="158"/>
      <c r="O41" s="158">
        <v>2</v>
      </c>
      <c r="P41" s="232">
        <v>-2.1</v>
      </c>
      <c r="Q41" s="144"/>
      <c r="R41" s="144"/>
      <c r="S41" s="144"/>
    </row>
    <row r="42" spans="2:17" ht="12.75">
      <c r="B42" s="155" t="s">
        <v>166</v>
      </c>
      <c r="C42" s="142"/>
      <c r="D42" s="156">
        <v>-2806</v>
      </c>
      <c r="E42" s="156">
        <f>I42-D42</f>
        <v>-2999</v>
      </c>
      <c r="F42" s="156">
        <v>-3291</v>
      </c>
      <c r="G42" s="157">
        <f t="shared" si="1"/>
        <v>-3510</v>
      </c>
      <c r="H42" s="156"/>
      <c r="I42" s="156">
        <v>-5805</v>
      </c>
      <c r="J42" s="157">
        <v>-6801</v>
      </c>
      <c r="K42" s="148"/>
      <c r="L42" s="158"/>
      <c r="M42" s="232"/>
      <c r="N42" s="158"/>
      <c r="O42" s="158"/>
      <c r="P42" s="232"/>
      <c r="Q42" s="142"/>
    </row>
    <row r="43" spans="2:17" ht="12.75">
      <c r="B43" s="155" t="s">
        <v>167</v>
      </c>
      <c r="C43" s="142"/>
      <c r="D43" s="156">
        <v>-3342</v>
      </c>
      <c r="E43" s="156">
        <f>I43-D43</f>
        <v>-3880</v>
      </c>
      <c r="F43" s="156">
        <v>-3960</v>
      </c>
      <c r="G43" s="157">
        <f t="shared" si="1"/>
        <v>-4272</v>
      </c>
      <c r="H43" s="156"/>
      <c r="I43" s="156">
        <v>-7222</v>
      </c>
      <c r="J43" s="157">
        <v>-8232</v>
      </c>
      <c r="K43" s="148"/>
      <c r="L43" s="158"/>
      <c r="M43" s="232"/>
      <c r="N43" s="158"/>
      <c r="O43" s="158"/>
      <c r="P43" s="232"/>
      <c r="Q43" s="142"/>
    </row>
    <row r="44" spans="2:17" ht="4.5" customHeight="1">
      <c r="B44" s="155"/>
      <c r="C44" s="142"/>
      <c r="D44" s="156"/>
      <c r="E44" s="156"/>
      <c r="F44" s="156"/>
      <c r="G44" s="160">
        <f t="shared" si="1"/>
        <v>0</v>
      </c>
      <c r="H44" s="156"/>
      <c r="I44" s="156"/>
      <c r="J44" s="157"/>
      <c r="K44" s="148"/>
      <c r="L44" s="158"/>
      <c r="M44" s="232"/>
      <c r="N44" s="158"/>
      <c r="O44" s="158"/>
      <c r="P44" s="232"/>
      <c r="Q44" s="142"/>
    </row>
    <row r="45" spans="2:17" ht="12.75">
      <c r="B45" s="170" t="s">
        <v>182</v>
      </c>
      <c r="C45" s="171"/>
      <c r="D45" s="172">
        <v>-2263</v>
      </c>
      <c r="E45" s="172">
        <f>I45-D45</f>
        <v>-2605</v>
      </c>
      <c r="F45" s="172">
        <v>-2652</v>
      </c>
      <c r="G45" s="157">
        <f t="shared" si="1"/>
        <v>-2845</v>
      </c>
      <c r="H45" s="172"/>
      <c r="I45" s="172">
        <v>-4868</v>
      </c>
      <c r="J45" s="227">
        <v>-5497</v>
      </c>
      <c r="K45" s="148"/>
      <c r="L45" s="158"/>
      <c r="M45" s="232"/>
      <c r="N45" s="158"/>
      <c r="O45" s="158"/>
      <c r="P45" s="232"/>
      <c r="Q45" s="142"/>
    </row>
    <row r="46" spans="2:17" ht="12.75">
      <c r="B46" s="173" t="s">
        <v>183</v>
      </c>
      <c r="C46" s="174"/>
      <c r="D46" s="159">
        <v>-1079</v>
      </c>
      <c r="E46" s="159">
        <f>I46-D46</f>
        <v>-1275</v>
      </c>
      <c r="F46" s="159">
        <v>-1308</v>
      </c>
      <c r="G46" s="160">
        <f t="shared" si="1"/>
        <v>-1427</v>
      </c>
      <c r="H46" s="159"/>
      <c r="I46" s="159">
        <v>-2354</v>
      </c>
      <c r="J46" s="228">
        <v>-2735</v>
      </c>
      <c r="K46" s="148"/>
      <c r="L46" s="158"/>
      <c r="M46" s="232"/>
      <c r="N46" s="158"/>
      <c r="O46" s="158"/>
      <c r="P46" s="232"/>
      <c r="Q46" s="142"/>
    </row>
    <row r="47" spans="2:17" ht="4.5" customHeight="1">
      <c r="B47" s="155"/>
      <c r="C47" s="142"/>
      <c r="D47" s="156"/>
      <c r="E47" s="156"/>
      <c r="F47" s="156"/>
      <c r="G47" s="157">
        <f t="shared" si="1"/>
        <v>0</v>
      </c>
      <c r="H47" s="156"/>
      <c r="I47" s="156"/>
      <c r="J47" s="157"/>
      <c r="K47" s="148"/>
      <c r="L47" s="158"/>
      <c r="M47" s="232"/>
      <c r="N47" s="158"/>
      <c r="O47" s="158"/>
      <c r="P47" s="232"/>
      <c r="Q47" s="142"/>
    </row>
    <row r="48" spans="2:17" ht="12.75">
      <c r="B48" s="155" t="s">
        <v>28</v>
      </c>
      <c r="C48" s="142"/>
      <c r="D48" s="159">
        <v>-1687</v>
      </c>
      <c r="E48" s="159">
        <f>I48-D48</f>
        <v>-1677</v>
      </c>
      <c r="F48" s="159">
        <v>-1988</v>
      </c>
      <c r="G48" s="160">
        <f t="shared" si="1"/>
        <v>-2191</v>
      </c>
      <c r="H48" s="156"/>
      <c r="I48" s="159">
        <v>-3364</v>
      </c>
      <c r="J48" s="160">
        <v>-4179</v>
      </c>
      <c r="K48" s="148"/>
      <c r="L48" s="158"/>
      <c r="M48" s="232"/>
      <c r="N48" s="158"/>
      <c r="O48" s="158"/>
      <c r="P48" s="232"/>
      <c r="Q48" s="142"/>
    </row>
    <row r="49" spans="1:19" s="4" customFormat="1" ht="12.75">
      <c r="A49" s="144"/>
      <c r="B49" s="161" t="s">
        <v>22</v>
      </c>
      <c r="C49" s="144"/>
      <c r="D49" s="156">
        <f>SUM(D41:D48)-D45-D46</f>
        <v>4834</v>
      </c>
      <c r="E49" s="156">
        <f>SUM(E41:E48)-E45-E46</f>
        <v>4856</v>
      </c>
      <c r="F49" s="156">
        <f>SUM(F41:F48)-F46-F45</f>
        <v>5241</v>
      </c>
      <c r="G49" s="157">
        <f t="shared" si="1"/>
        <v>5181</v>
      </c>
      <c r="H49" s="157"/>
      <c r="I49" s="156">
        <f>SUM(I41:I48)-I45-I46</f>
        <v>9690</v>
      </c>
      <c r="J49" s="157">
        <v>10422</v>
      </c>
      <c r="K49" s="153"/>
      <c r="L49" s="158">
        <v>-5.1</v>
      </c>
      <c r="M49" s="232">
        <v>-8.8</v>
      </c>
      <c r="N49" s="158"/>
      <c r="O49" s="158">
        <v>-0.1</v>
      </c>
      <c r="P49" s="232">
        <v>-7</v>
      </c>
      <c r="Q49" s="144"/>
      <c r="R49" s="144"/>
      <c r="S49" s="144"/>
    </row>
    <row r="50" spans="1:19" s="4" customFormat="1" ht="12.75">
      <c r="A50" s="144"/>
      <c r="B50" s="155" t="s">
        <v>180</v>
      </c>
      <c r="C50" s="144"/>
      <c r="D50" s="156"/>
      <c r="E50" s="156"/>
      <c r="F50" s="156"/>
      <c r="G50" s="157"/>
      <c r="H50" s="157"/>
      <c r="I50" s="156"/>
      <c r="J50" s="157"/>
      <c r="K50" s="153"/>
      <c r="L50" s="158"/>
      <c r="M50" s="232"/>
      <c r="N50" s="158"/>
      <c r="O50" s="158"/>
      <c r="P50" s="232"/>
      <c r="Q50" s="144"/>
      <c r="R50" s="144"/>
      <c r="S50" s="144"/>
    </row>
    <row r="51" spans="2:17" ht="12.75">
      <c r="B51" s="163" t="s">
        <v>181</v>
      </c>
      <c r="C51" s="142"/>
      <c r="D51" s="156">
        <v>-15</v>
      </c>
      <c r="E51" s="156">
        <f>I51-D51</f>
        <v>-63</v>
      </c>
      <c r="F51" s="156">
        <v>-45</v>
      </c>
      <c r="G51" s="157">
        <f t="shared" si="1"/>
        <v>-43</v>
      </c>
      <c r="H51" s="156"/>
      <c r="I51" s="156">
        <v>-78</v>
      </c>
      <c r="J51" s="157">
        <v>-88</v>
      </c>
      <c r="K51" s="148"/>
      <c r="L51" s="158"/>
      <c r="M51" s="232"/>
      <c r="N51" s="158"/>
      <c r="O51" s="158"/>
      <c r="P51" s="232"/>
      <c r="Q51" s="142"/>
    </row>
    <row r="52" spans="2:17" ht="12.75">
      <c r="B52" s="163" t="s">
        <v>225</v>
      </c>
      <c r="C52" s="142"/>
      <c r="D52" s="156">
        <v>-413</v>
      </c>
      <c r="E52" s="156">
        <f>I52-D52</f>
        <v>-433</v>
      </c>
      <c r="F52" s="156">
        <v>-454</v>
      </c>
      <c r="G52" s="157">
        <f t="shared" si="1"/>
        <v>-486</v>
      </c>
      <c r="H52" s="156"/>
      <c r="I52" s="156">
        <v>-846</v>
      </c>
      <c r="J52" s="157">
        <v>-940</v>
      </c>
      <c r="K52" s="148"/>
      <c r="L52" s="158"/>
      <c r="M52" s="232"/>
      <c r="N52" s="158"/>
      <c r="O52" s="158"/>
      <c r="P52" s="232"/>
      <c r="Q52" s="142"/>
    </row>
    <row r="53" spans="2:17" ht="12.75">
      <c r="B53" s="163" t="s">
        <v>36</v>
      </c>
      <c r="C53" s="142"/>
      <c r="D53" s="156">
        <v>-1398</v>
      </c>
      <c r="E53" s="156">
        <f>I53-D53</f>
        <v>-1587</v>
      </c>
      <c r="F53" s="156">
        <v>-1575</v>
      </c>
      <c r="G53" s="157">
        <f t="shared" si="1"/>
        <v>-1708</v>
      </c>
      <c r="H53" s="156"/>
      <c r="I53" s="156">
        <v>-2985</v>
      </c>
      <c r="J53" s="157">
        <v>-3283</v>
      </c>
      <c r="K53" s="148"/>
      <c r="L53" s="158"/>
      <c r="M53" s="232"/>
      <c r="N53" s="158"/>
      <c r="O53" s="158"/>
      <c r="P53" s="232"/>
      <c r="Q53" s="142"/>
    </row>
    <row r="54" spans="2:17" ht="12.75">
      <c r="B54" s="155" t="s">
        <v>32</v>
      </c>
      <c r="C54" s="142"/>
      <c r="D54" s="159">
        <v>261</v>
      </c>
      <c r="E54" s="156">
        <f>I54-D54</f>
        <v>164</v>
      </c>
      <c r="F54" s="159">
        <v>296</v>
      </c>
      <c r="G54" s="160">
        <f t="shared" si="1"/>
        <v>224</v>
      </c>
      <c r="H54" s="156"/>
      <c r="I54" s="159">
        <v>425</v>
      </c>
      <c r="J54" s="160">
        <v>520</v>
      </c>
      <c r="K54" s="148"/>
      <c r="L54" s="158"/>
      <c r="M54" s="232"/>
      <c r="N54" s="158"/>
      <c r="O54" s="158"/>
      <c r="P54" s="232"/>
      <c r="Q54" s="142"/>
    </row>
    <row r="55" spans="1:19" s="4" customFormat="1" ht="13.5" thickBot="1">
      <c r="A55" s="144"/>
      <c r="B55" s="161" t="s">
        <v>33</v>
      </c>
      <c r="C55" s="144"/>
      <c r="D55" s="166">
        <f>D49+D51+D52+D53+D54</f>
        <v>3269</v>
      </c>
      <c r="E55" s="166">
        <f>E49+E51+E52+E53+E54</f>
        <v>2937</v>
      </c>
      <c r="F55" s="166">
        <f>F49+F51+F52+F53+F54</f>
        <v>3463</v>
      </c>
      <c r="G55" s="167">
        <f t="shared" si="1"/>
        <v>3168</v>
      </c>
      <c r="H55" s="157"/>
      <c r="I55" s="166">
        <f>I49+I51+I52+I53+I54</f>
        <v>6206</v>
      </c>
      <c r="J55" s="167">
        <v>6631</v>
      </c>
      <c r="K55" s="153"/>
      <c r="L55" s="158">
        <v>-7.7</v>
      </c>
      <c r="M55" s="232">
        <v>-8.7</v>
      </c>
      <c r="N55" s="158"/>
      <c r="O55" s="158">
        <v>-1.5</v>
      </c>
      <c r="P55" s="232">
        <v>-8.2</v>
      </c>
      <c r="Q55" s="144"/>
      <c r="R55" s="144"/>
      <c r="S55" s="144"/>
    </row>
    <row r="56" spans="2:17" ht="13.5" thickTop="1">
      <c r="B56" s="142"/>
      <c r="C56" s="142"/>
      <c r="D56" s="156"/>
      <c r="E56" s="156"/>
      <c r="F56" s="156"/>
      <c r="G56" s="157"/>
      <c r="H56" s="156"/>
      <c r="I56" s="156"/>
      <c r="J56" s="157"/>
      <c r="K56" s="148"/>
      <c r="L56" s="158"/>
      <c r="M56" s="232"/>
      <c r="N56" s="158"/>
      <c r="O56" s="158"/>
      <c r="P56" s="232"/>
      <c r="Q56" s="142"/>
    </row>
    <row r="57" spans="2:17" ht="12.75">
      <c r="B57" s="161" t="s">
        <v>38</v>
      </c>
      <c r="C57" s="142"/>
      <c r="D57" s="154">
        <f>D49/D41</f>
        <v>0.38156129134106875</v>
      </c>
      <c r="E57" s="154">
        <f>E49/E41</f>
        <v>0.362063823441694</v>
      </c>
      <c r="F57" s="154">
        <f>F49/F41</f>
        <v>0.3619475138121547</v>
      </c>
      <c r="G57" s="168">
        <f>G49/G41</f>
        <v>0.34188993005147156</v>
      </c>
      <c r="H57" s="175"/>
      <c r="I57" s="154">
        <f>I49/I41</f>
        <v>0.37153483378704805</v>
      </c>
      <c r="J57" s="168">
        <f>J49/J41</f>
        <v>0.3516906256327192</v>
      </c>
      <c r="K57" s="148"/>
      <c r="L57" s="158"/>
      <c r="M57" s="232"/>
      <c r="N57" s="158"/>
      <c r="O57" s="158"/>
      <c r="P57" s="232"/>
      <c r="Q57" s="142"/>
    </row>
    <row r="58" spans="2:17" ht="12.75">
      <c r="B58" s="163" t="s">
        <v>81</v>
      </c>
      <c r="C58" s="142"/>
      <c r="D58" s="156">
        <v>995</v>
      </c>
      <c r="E58" s="156">
        <f>I58-D58</f>
        <v>1496</v>
      </c>
      <c r="F58" s="156">
        <v>1126</v>
      </c>
      <c r="G58" s="157">
        <f>J58-F58</f>
        <v>1734</v>
      </c>
      <c r="H58" s="156"/>
      <c r="I58" s="156">
        <v>2491</v>
      </c>
      <c r="J58" s="157">
        <v>2860</v>
      </c>
      <c r="K58" s="148"/>
      <c r="L58" s="158"/>
      <c r="M58" s="232"/>
      <c r="N58" s="158"/>
      <c r="O58" s="158"/>
      <c r="P58" s="232"/>
      <c r="Q58" s="142"/>
    </row>
    <row r="59" spans="2:17" ht="12.75">
      <c r="B59" s="142"/>
      <c r="C59" s="142"/>
      <c r="D59" s="156"/>
      <c r="E59" s="156"/>
      <c r="F59" s="156"/>
      <c r="G59" s="157"/>
      <c r="H59" s="156"/>
      <c r="I59" s="156"/>
      <c r="J59" s="157"/>
      <c r="K59" s="148"/>
      <c r="L59" s="158"/>
      <c r="M59" s="232"/>
      <c r="N59" s="158"/>
      <c r="O59" s="158"/>
      <c r="P59" s="232"/>
      <c r="Q59" s="142"/>
    </row>
    <row r="60" spans="1:17" ht="15.75">
      <c r="A60" s="144" t="s">
        <v>249</v>
      </c>
      <c r="B60" s="142"/>
      <c r="C60" s="142"/>
      <c r="D60" s="156"/>
      <c r="E60" s="156"/>
      <c r="F60" s="156"/>
      <c r="G60" s="157"/>
      <c r="H60" s="156"/>
      <c r="I60" s="156"/>
      <c r="J60" s="157"/>
      <c r="K60" s="148"/>
      <c r="L60" s="158"/>
      <c r="M60" s="232"/>
      <c r="N60" s="158"/>
      <c r="O60" s="158"/>
      <c r="P60" s="232"/>
      <c r="Q60" s="142"/>
    </row>
    <row r="61" spans="1:19" s="10" customFormat="1" ht="12.75">
      <c r="A61" s="9"/>
      <c r="B61" s="39" t="s">
        <v>104</v>
      </c>
      <c r="C61" s="9"/>
      <c r="D61" s="21">
        <v>1787</v>
      </c>
      <c r="E61" s="21">
        <v>1820</v>
      </c>
      <c r="F61" s="21">
        <v>1977</v>
      </c>
      <c r="G61" s="206">
        <f>J61-F61</f>
        <v>2063</v>
      </c>
      <c r="H61" s="21"/>
      <c r="I61" s="21">
        <v>3608</v>
      </c>
      <c r="J61" s="206">
        <v>4040</v>
      </c>
      <c r="K61" s="35"/>
      <c r="L61" s="213"/>
      <c r="M61" s="232"/>
      <c r="N61" s="213"/>
      <c r="O61" s="213"/>
      <c r="P61" s="232"/>
      <c r="Q61" s="9"/>
      <c r="R61" s="9"/>
      <c r="S61" s="9"/>
    </row>
    <row r="62" spans="1:19" s="10" customFormat="1" ht="12.75">
      <c r="A62" s="9"/>
      <c r="B62" s="39" t="s">
        <v>23</v>
      </c>
      <c r="C62" s="9"/>
      <c r="D62" s="21">
        <v>348</v>
      </c>
      <c r="E62" s="21">
        <f>I62-D62</f>
        <v>348</v>
      </c>
      <c r="F62" s="21">
        <v>364</v>
      </c>
      <c r="G62" s="206">
        <f aca="true" t="shared" si="2" ref="G62:G78">J62-F62</f>
        <v>391</v>
      </c>
      <c r="H62" s="21"/>
      <c r="I62" s="21">
        <v>696</v>
      </c>
      <c r="J62" s="206">
        <v>755</v>
      </c>
      <c r="K62" s="35"/>
      <c r="L62" s="213"/>
      <c r="M62" s="232"/>
      <c r="N62" s="213"/>
      <c r="O62" s="213"/>
      <c r="P62" s="232"/>
      <c r="Q62" s="9"/>
      <c r="R62" s="9"/>
      <c r="S62" s="9"/>
    </row>
    <row r="63" spans="1:19" s="10" customFormat="1" ht="12.75">
      <c r="A63" s="9"/>
      <c r="B63" s="39" t="s">
        <v>21</v>
      </c>
      <c r="C63" s="9"/>
      <c r="D63" s="21">
        <v>254</v>
      </c>
      <c r="E63" s="21">
        <f>I63-D63</f>
        <v>309</v>
      </c>
      <c r="F63" s="21">
        <v>365</v>
      </c>
      <c r="G63" s="206">
        <f t="shared" si="2"/>
        <v>438</v>
      </c>
      <c r="H63" s="21"/>
      <c r="I63" s="21">
        <v>563</v>
      </c>
      <c r="J63" s="206">
        <v>803</v>
      </c>
      <c r="K63" s="35"/>
      <c r="L63" s="213"/>
      <c r="M63" s="232"/>
      <c r="N63" s="213"/>
      <c r="O63" s="213"/>
      <c r="P63" s="232"/>
      <c r="Q63" s="9"/>
      <c r="R63" s="9"/>
      <c r="S63" s="9"/>
    </row>
    <row r="64" spans="1:19" s="10" customFormat="1" ht="12.75">
      <c r="A64" s="9"/>
      <c r="B64" s="39" t="s">
        <v>105</v>
      </c>
      <c r="C64" s="9"/>
      <c r="D64" s="21">
        <v>733</v>
      </c>
      <c r="E64" s="21">
        <f>I64-D64</f>
        <v>798</v>
      </c>
      <c r="F64" s="21">
        <v>828</v>
      </c>
      <c r="G64" s="206">
        <f t="shared" si="2"/>
        <v>941</v>
      </c>
      <c r="H64" s="21"/>
      <c r="I64" s="21">
        <v>1531</v>
      </c>
      <c r="J64" s="206">
        <v>1769</v>
      </c>
      <c r="K64" s="35"/>
      <c r="L64" s="213"/>
      <c r="M64" s="232"/>
      <c r="N64" s="213"/>
      <c r="O64" s="213"/>
      <c r="P64" s="232"/>
      <c r="Q64" s="9"/>
      <c r="R64" s="9"/>
      <c r="S64" s="9"/>
    </row>
    <row r="65" spans="1:19" s="10" customFormat="1" ht="12.75">
      <c r="A65" s="9"/>
      <c r="B65" s="39" t="s">
        <v>24</v>
      </c>
      <c r="C65" s="9"/>
      <c r="D65" s="25">
        <v>84</v>
      </c>
      <c r="E65" s="25">
        <v>70</v>
      </c>
      <c r="F65" s="25">
        <v>91</v>
      </c>
      <c r="G65" s="215">
        <f t="shared" si="2"/>
        <v>77</v>
      </c>
      <c r="H65" s="21"/>
      <c r="I65" s="25">
        <v>153</v>
      </c>
      <c r="J65" s="215">
        <v>168</v>
      </c>
      <c r="K65" s="35"/>
      <c r="L65" s="213"/>
      <c r="M65" s="232"/>
      <c r="N65" s="213"/>
      <c r="O65" s="213"/>
      <c r="P65" s="232"/>
      <c r="Q65" s="9"/>
      <c r="R65" s="9"/>
      <c r="S65" s="9"/>
    </row>
    <row r="66" spans="1:19" s="4" customFormat="1" ht="12.75">
      <c r="A66" s="144"/>
      <c r="B66" s="161" t="s">
        <v>84</v>
      </c>
      <c r="C66" s="144"/>
      <c r="D66" s="21">
        <f>SUM(D61:D65)</f>
        <v>3206</v>
      </c>
      <c r="E66" s="21">
        <f>SUM(E61:E65)</f>
        <v>3345</v>
      </c>
      <c r="F66" s="21">
        <f>SUM(F61:F65)</f>
        <v>3625</v>
      </c>
      <c r="G66" s="206">
        <f t="shared" si="2"/>
        <v>3910</v>
      </c>
      <c r="H66" s="206"/>
      <c r="I66" s="21">
        <f>SUM(I61:I65)</f>
        <v>6551</v>
      </c>
      <c r="J66" s="206">
        <v>7535</v>
      </c>
      <c r="K66" s="37"/>
      <c r="L66" s="213">
        <v>-3.2</v>
      </c>
      <c r="M66" s="232">
        <v>-1.9</v>
      </c>
      <c r="N66" s="213"/>
      <c r="O66" s="213">
        <v>-2.9</v>
      </c>
      <c r="P66" s="232">
        <v>-2.5</v>
      </c>
      <c r="Q66" s="144"/>
      <c r="R66" s="144"/>
      <c r="S66" s="144"/>
    </row>
    <row r="67" spans="1:19" s="10" customFormat="1" ht="12.75">
      <c r="A67" s="9"/>
      <c r="B67" s="39" t="s">
        <v>162</v>
      </c>
      <c r="C67" s="9"/>
      <c r="D67" s="25">
        <v>145</v>
      </c>
      <c r="E67" s="25">
        <f>I67-D67</f>
        <v>170</v>
      </c>
      <c r="F67" s="25">
        <v>133</v>
      </c>
      <c r="G67" s="215">
        <f t="shared" si="2"/>
        <v>179</v>
      </c>
      <c r="H67" s="21"/>
      <c r="I67" s="25">
        <v>315</v>
      </c>
      <c r="J67" s="215">
        <v>312</v>
      </c>
      <c r="K67" s="35"/>
      <c r="L67" s="213"/>
      <c r="M67" s="232"/>
      <c r="N67" s="213"/>
      <c r="O67" s="213"/>
      <c r="P67" s="232"/>
      <c r="Q67" s="9"/>
      <c r="R67" s="9"/>
      <c r="S67" s="9"/>
    </row>
    <row r="68" spans="1:19" s="4" customFormat="1" ht="12.75">
      <c r="A68" s="144"/>
      <c r="B68" s="161" t="s">
        <v>65</v>
      </c>
      <c r="C68" s="144"/>
      <c r="D68" s="21">
        <f>SUM(D66:D67)</f>
        <v>3351</v>
      </c>
      <c r="E68" s="21">
        <f>SUM(E66:E67)</f>
        <v>3515</v>
      </c>
      <c r="F68" s="21">
        <f>SUM(F66:F67)</f>
        <v>3758</v>
      </c>
      <c r="G68" s="206">
        <f t="shared" si="2"/>
        <v>4089</v>
      </c>
      <c r="H68" s="206"/>
      <c r="I68" s="21">
        <f>SUM(I66:I67)</f>
        <v>6866</v>
      </c>
      <c r="J68" s="206">
        <v>7847</v>
      </c>
      <c r="K68" s="37"/>
      <c r="L68" s="213">
        <v>-4</v>
      </c>
      <c r="M68" s="232">
        <v>-2.4</v>
      </c>
      <c r="N68" s="213"/>
      <c r="O68" s="213">
        <v>-2.8</v>
      </c>
      <c r="P68" s="232">
        <v>-3.1</v>
      </c>
      <c r="Q68" s="144"/>
      <c r="R68" s="144"/>
      <c r="S68" s="144"/>
    </row>
    <row r="69" spans="1:19" s="10" customFormat="1" ht="12.75">
      <c r="A69" s="9"/>
      <c r="B69" s="39" t="s">
        <v>166</v>
      </c>
      <c r="C69" s="9"/>
      <c r="D69" s="21">
        <v>-726</v>
      </c>
      <c r="E69" s="21">
        <f>I69-D69</f>
        <v>-725</v>
      </c>
      <c r="F69" s="21">
        <v>-806</v>
      </c>
      <c r="G69" s="206">
        <f t="shared" si="2"/>
        <v>-885</v>
      </c>
      <c r="H69" s="21"/>
      <c r="I69" s="21">
        <v>-1451</v>
      </c>
      <c r="J69" s="206">
        <v>-1691</v>
      </c>
      <c r="K69" s="35"/>
      <c r="L69" s="213"/>
      <c r="M69" s="232"/>
      <c r="N69" s="213"/>
      <c r="O69" s="213"/>
      <c r="P69" s="232"/>
      <c r="Q69" s="9"/>
      <c r="R69" s="9"/>
      <c r="S69" s="9"/>
    </row>
    <row r="70" spans="1:19" s="10" customFormat="1" ht="12.75">
      <c r="A70" s="9"/>
      <c r="B70" s="39" t="s">
        <v>167</v>
      </c>
      <c r="C70" s="9"/>
      <c r="D70" s="21">
        <v>-884</v>
      </c>
      <c r="E70" s="21">
        <f>I70-D70</f>
        <v>-967</v>
      </c>
      <c r="F70" s="21">
        <v>-957</v>
      </c>
      <c r="G70" s="206">
        <f t="shared" si="2"/>
        <v>-1074</v>
      </c>
      <c r="H70" s="21"/>
      <c r="I70" s="21">
        <v>-1851</v>
      </c>
      <c r="J70" s="206">
        <v>-2031</v>
      </c>
      <c r="K70" s="35"/>
      <c r="L70" s="213"/>
      <c r="M70" s="232"/>
      <c r="N70" s="213"/>
      <c r="O70" s="213"/>
      <c r="P70" s="232"/>
      <c r="Q70" s="9"/>
      <c r="R70" s="9"/>
      <c r="S70" s="9"/>
    </row>
    <row r="71" spans="1:19" s="10" customFormat="1" ht="12.75">
      <c r="A71" s="9"/>
      <c r="B71" s="39" t="s">
        <v>28</v>
      </c>
      <c r="C71" s="9"/>
      <c r="D71" s="25">
        <v>-453</v>
      </c>
      <c r="E71" s="25">
        <f>I71-D71</f>
        <v>-444</v>
      </c>
      <c r="F71" s="25">
        <v>-502</v>
      </c>
      <c r="G71" s="215">
        <f t="shared" si="2"/>
        <v>-565</v>
      </c>
      <c r="H71" s="21"/>
      <c r="I71" s="25">
        <v>-897</v>
      </c>
      <c r="J71" s="215">
        <v>-1067</v>
      </c>
      <c r="K71" s="35"/>
      <c r="L71" s="213"/>
      <c r="M71" s="232"/>
      <c r="N71" s="213"/>
      <c r="O71" s="213"/>
      <c r="P71" s="232"/>
      <c r="Q71" s="9"/>
      <c r="R71" s="9"/>
      <c r="S71" s="9"/>
    </row>
    <row r="72" spans="1:19" s="4" customFormat="1" ht="12.75">
      <c r="A72" s="144"/>
      <c r="B72" s="161" t="s">
        <v>22</v>
      </c>
      <c r="C72" s="144"/>
      <c r="D72" s="21">
        <f>SUM(D68:D71)</f>
        <v>1288</v>
      </c>
      <c r="E72" s="21">
        <f>SUM(E68:E71)</f>
        <v>1379</v>
      </c>
      <c r="F72" s="21">
        <f>SUM(F68:F71)</f>
        <v>1493</v>
      </c>
      <c r="G72" s="206">
        <f t="shared" si="2"/>
        <v>1565</v>
      </c>
      <c r="H72" s="206"/>
      <c r="I72" s="21">
        <f>SUM(I68:I71)</f>
        <v>2667</v>
      </c>
      <c r="J72" s="206">
        <v>3058</v>
      </c>
      <c r="K72" s="37"/>
      <c r="L72" s="213">
        <v>-0.9</v>
      </c>
      <c r="M72" s="232">
        <v>-4.3</v>
      </c>
      <c r="N72" s="213"/>
      <c r="O72" s="213">
        <v>-5</v>
      </c>
      <c r="P72" s="232">
        <v>-2.7</v>
      </c>
      <c r="Q72" s="144"/>
      <c r="R72" s="144"/>
      <c r="S72" s="144"/>
    </row>
    <row r="73" spans="1:19" s="41" customFormat="1" ht="12.75">
      <c r="A73" s="14"/>
      <c r="B73" s="39" t="s">
        <v>180</v>
      </c>
      <c r="C73" s="14"/>
      <c r="D73" s="21"/>
      <c r="E73" s="21"/>
      <c r="F73" s="21"/>
      <c r="G73" s="206"/>
      <c r="H73" s="206"/>
      <c r="I73" s="21"/>
      <c r="J73" s="206"/>
      <c r="K73" s="37"/>
      <c r="L73" s="213"/>
      <c r="M73" s="232"/>
      <c r="N73" s="213"/>
      <c r="O73" s="213"/>
      <c r="P73" s="232"/>
      <c r="Q73" s="14"/>
      <c r="R73" s="14"/>
      <c r="S73" s="14"/>
    </row>
    <row r="74" spans="1:19" s="10" customFormat="1" ht="12.75">
      <c r="A74" s="9"/>
      <c r="B74" s="216" t="s">
        <v>181</v>
      </c>
      <c r="C74" s="9"/>
      <c r="D74" s="31">
        <v>0</v>
      </c>
      <c r="E74" s="31">
        <f>I74-D74</f>
        <v>0</v>
      </c>
      <c r="F74" s="31">
        <v>0</v>
      </c>
      <c r="G74" s="206">
        <f t="shared" si="2"/>
        <v>0</v>
      </c>
      <c r="H74" s="31"/>
      <c r="I74" s="31">
        <v>0</v>
      </c>
      <c r="J74" s="210">
        <v>0</v>
      </c>
      <c r="K74" s="35"/>
      <c r="L74" s="213"/>
      <c r="M74" s="232"/>
      <c r="N74" s="213"/>
      <c r="O74" s="213"/>
      <c r="P74" s="232"/>
      <c r="Q74" s="9"/>
      <c r="R74" s="9"/>
      <c r="S74" s="9"/>
    </row>
    <row r="75" spans="1:19" s="10" customFormat="1" ht="12.75">
      <c r="A75" s="9"/>
      <c r="B75" s="163" t="s">
        <v>225</v>
      </c>
      <c r="C75" s="9"/>
      <c r="D75" s="21">
        <v>-170</v>
      </c>
      <c r="E75" s="21">
        <f>I75-D75</f>
        <v>-184</v>
      </c>
      <c r="F75" s="21">
        <v>-199</v>
      </c>
      <c r="G75" s="206">
        <f t="shared" si="2"/>
        <v>-220</v>
      </c>
      <c r="H75" s="21"/>
      <c r="I75" s="21">
        <v>-354</v>
      </c>
      <c r="J75" s="206">
        <v>-419</v>
      </c>
      <c r="K75" s="35"/>
      <c r="L75" s="213"/>
      <c r="M75" s="232"/>
      <c r="N75" s="213"/>
      <c r="O75" s="213"/>
      <c r="P75" s="232"/>
      <c r="Q75" s="9"/>
      <c r="R75" s="9"/>
      <c r="S75" s="9"/>
    </row>
    <row r="76" spans="1:19" s="10" customFormat="1" ht="12.75">
      <c r="A76" s="9"/>
      <c r="B76" s="216" t="s">
        <v>36</v>
      </c>
      <c r="C76" s="9"/>
      <c r="D76" s="21">
        <v>-382</v>
      </c>
      <c r="E76" s="21">
        <f>I76-D76</f>
        <v>-441</v>
      </c>
      <c r="F76" s="21">
        <v>-424</v>
      </c>
      <c r="G76" s="206">
        <f t="shared" si="2"/>
        <v>-487</v>
      </c>
      <c r="H76" s="21"/>
      <c r="I76" s="21">
        <v>-823</v>
      </c>
      <c r="J76" s="206">
        <v>-911</v>
      </c>
      <c r="K76" s="35"/>
      <c r="L76" s="213"/>
      <c r="M76" s="232"/>
      <c r="N76" s="213"/>
      <c r="O76" s="213"/>
      <c r="P76" s="232"/>
      <c r="Q76" s="9"/>
      <c r="R76" s="9"/>
      <c r="S76" s="9"/>
    </row>
    <row r="77" spans="1:19" s="10" customFormat="1" ht="12.75">
      <c r="A77" s="9"/>
      <c r="B77" s="39" t="s">
        <v>32</v>
      </c>
      <c r="C77" s="9"/>
      <c r="D77" s="214">
        <v>0</v>
      </c>
      <c r="E77" s="31">
        <f>I77-D77</f>
        <v>0</v>
      </c>
      <c r="F77" s="214">
        <v>0</v>
      </c>
      <c r="G77" s="206">
        <f t="shared" si="2"/>
        <v>0</v>
      </c>
      <c r="H77" s="31"/>
      <c r="I77" s="31">
        <v>0</v>
      </c>
      <c r="J77" s="210">
        <v>0</v>
      </c>
      <c r="K77" s="35"/>
      <c r="L77" s="213"/>
      <c r="M77" s="232"/>
      <c r="N77" s="213"/>
      <c r="O77" s="213"/>
      <c r="P77" s="232"/>
      <c r="Q77" s="9"/>
      <c r="R77" s="9"/>
      <c r="S77" s="9"/>
    </row>
    <row r="78" spans="1:19" s="4" customFormat="1" ht="13.5" thickBot="1">
      <c r="A78" s="144"/>
      <c r="B78" s="161" t="s">
        <v>33</v>
      </c>
      <c r="C78" s="144"/>
      <c r="D78" s="27">
        <f>D72+D74+D75+D76+D77</f>
        <v>736</v>
      </c>
      <c r="E78" s="27">
        <f>E72+E74+E75+E76+E77</f>
        <v>754</v>
      </c>
      <c r="F78" s="27">
        <f>F72+F74+F75+F76+F77</f>
        <v>870</v>
      </c>
      <c r="G78" s="207">
        <f t="shared" si="2"/>
        <v>858</v>
      </c>
      <c r="H78" s="206"/>
      <c r="I78" s="27">
        <f>I72+I74+I75+I76+I77</f>
        <v>1490</v>
      </c>
      <c r="J78" s="207">
        <v>1728</v>
      </c>
      <c r="K78" s="37"/>
      <c r="L78" s="213">
        <v>1</v>
      </c>
      <c r="M78" s="232">
        <v>-3.4</v>
      </c>
      <c r="N78" s="213"/>
      <c r="O78" s="213">
        <v>-6</v>
      </c>
      <c r="P78" s="232">
        <v>-1.2</v>
      </c>
      <c r="Q78" s="144"/>
      <c r="R78" s="144"/>
      <c r="S78" s="144"/>
    </row>
    <row r="79" spans="1:19" s="10" customFormat="1" ht="13.5" thickTop="1">
      <c r="A79" s="9"/>
      <c r="B79" s="9"/>
      <c r="C79" s="9"/>
      <c r="D79" s="21"/>
      <c r="E79" s="21"/>
      <c r="F79" s="21"/>
      <c r="G79" s="206"/>
      <c r="H79" s="21"/>
      <c r="I79" s="21"/>
      <c r="J79" s="206"/>
      <c r="K79" s="35"/>
      <c r="L79" s="213"/>
      <c r="M79" s="232"/>
      <c r="N79" s="213"/>
      <c r="O79" s="213"/>
      <c r="P79" s="232"/>
      <c r="Q79" s="9"/>
      <c r="R79" s="9"/>
      <c r="S79" s="9"/>
    </row>
    <row r="80" spans="1:19" s="10" customFormat="1" ht="12.75">
      <c r="A80" s="9"/>
      <c r="B80" s="40" t="s">
        <v>38</v>
      </c>
      <c r="C80" s="9"/>
      <c r="D80" s="38">
        <f>D72/D68</f>
        <v>0.384362876753208</v>
      </c>
      <c r="E80" s="38">
        <f>E72/E68</f>
        <v>0.3923186344238976</v>
      </c>
      <c r="F80" s="38">
        <f>F72/F68</f>
        <v>0.3972857903139968</v>
      </c>
      <c r="G80" s="42">
        <f>G72/G68</f>
        <v>0.38273416483247735</v>
      </c>
      <c r="H80" s="38"/>
      <c r="I80" s="38">
        <f>I72/I68</f>
        <v>0.38843577046315175</v>
      </c>
      <c r="J80" s="42">
        <f>J72/J68</f>
        <v>0.3897030712374156</v>
      </c>
      <c r="K80" s="35"/>
      <c r="L80" s="213"/>
      <c r="M80" s="232"/>
      <c r="N80" s="213"/>
      <c r="O80" s="213"/>
      <c r="P80" s="232"/>
      <c r="Q80" s="9"/>
      <c r="R80" s="9"/>
      <c r="S80" s="9"/>
    </row>
    <row r="81" spans="1:19" s="10" customFormat="1" ht="12.75">
      <c r="A81" s="9"/>
      <c r="B81" s="216" t="s">
        <v>81</v>
      </c>
      <c r="C81" s="9"/>
      <c r="D81" s="21">
        <v>261</v>
      </c>
      <c r="E81" s="21">
        <f>I81-D81</f>
        <v>352</v>
      </c>
      <c r="F81" s="21">
        <v>289</v>
      </c>
      <c r="G81" s="206">
        <f>J81-F81</f>
        <v>461</v>
      </c>
      <c r="H81" s="21"/>
      <c r="I81" s="21">
        <v>613</v>
      </c>
      <c r="J81" s="157">
        <v>750</v>
      </c>
      <c r="K81" s="35"/>
      <c r="L81" s="213"/>
      <c r="M81" s="232"/>
      <c r="N81" s="213"/>
      <c r="O81" s="213"/>
      <c r="P81" s="232"/>
      <c r="Q81" s="9"/>
      <c r="R81" s="9"/>
      <c r="S81" s="9"/>
    </row>
    <row r="82" spans="4:16" s="142" customFormat="1" ht="12.75">
      <c r="D82" s="156"/>
      <c r="E82" s="156"/>
      <c r="F82" s="156"/>
      <c r="G82" s="157"/>
      <c r="H82" s="156"/>
      <c r="I82" s="156"/>
      <c r="J82" s="157"/>
      <c r="K82" s="148"/>
      <c r="L82" s="158"/>
      <c r="M82" s="232"/>
      <c r="N82" s="158"/>
      <c r="O82" s="158"/>
      <c r="P82" s="232"/>
    </row>
    <row r="83" spans="4:16" s="142" customFormat="1" ht="12.75">
      <c r="D83" s="156"/>
      <c r="E83" s="156"/>
      <c r="F83" s="156"/>
      <c r="G83" s="157"/>
      <c r="H83" s="156"/>
      <c r="I83" s="156"/>
      <c r="J83" s="157"/>
      <c r="K83" s="148"/>
      <c r="L83" s="158"/>
      <c r="M83" s="232"/>
      <c r="N83" s="158"/>
      <c r="O83" s="158"/>
      <c r="P83" s="232"/>
    </row>
    <row r="84" spans="1:17" ht="12.75">
      <c r="A84" s="144" t="s">
        <v>17</v>
      </c>
      <c r="B84" s="142"/>
      <c r="C84" s="142"/>
      <c r="D84" s="156"/>
      <c r="E84" s="156"/>
      <c r="F84" s="156"/>
      <c r="G84" s="157"/>
      <c r="H84" s="156"/>
      <c r="I84" s="156"/>
      <c r="J84" s="157"/>
      <c r="K84" s="148"/>
      <c r="L84" s="158"/>
      <c r="M84" s="232"/>
      <c r="N84" s="158"/>
      <c r="O84" s="158"/>
      <c r="P84" s="232"/>
      <c r="Q84" s="142"/>
    </row>
    <row r="85" spans="2:17" ht="12.75">
      <c r="B85" s="155" t="s">
        <v>104</v>
      </c>
      <c r="C85" s="142"/>
      <c r="D85" s="156">
        <v>1521</v>
      </c>
      <c r="E85" s="156">
        <f>I85-D85</f>
        <v>1563</v>
      </c>
      <c r="F85" s="156">
        <v>1721</v>
      </c>
      <c r="G85" s="157">
        <f>J85-F85</f>
        <v>1835</v>
      </c>
      <c r="H85" s="156"/>
      <c r="I85" s="156">
        <v>3084</v>
      </c>
      <c r="J85" s="157">
        <v>3556</v>
      </c>
      <c r="K85" s="148"/>
      <c r="L85" s="158"/>
      <c r="M85" s="232"/>
      <c r="N85" s="158"/>
      <c r="O85" s="158"/>
      <c r="P85" s="232"/>
      <c r="Q85" s="142"/>
    </row>
    <row r="86" spans="2:17" ht="12.75">
      <c r="B86" s="155" t="s">
        <v>23</v>
      </c>
      <c r="C86" s="142"/>
      <c r="D86" s="156">
        <v>317</v>
      </c>
      <c r="E86" s="156">
        <f>I86-D86</f>
        <v>360</v>
      </c>
      <c r="F86" s="156">
        <v>392</v>
      </c>
      <c r="G86" s="157">
        <f aca="true" t="shared" si="3" ref="G86:G102">J86-F86</f>
        <v>441</v>
      </c>
      <c r="H86" s="156"/>
      <c r="I86" s="156">
        <v>677</v>
      </c>
      <c r="J86" s="157">
        <v>833</v>
      </c>
      <c r="K86" s="148"/>
      <c r="L86" s="158"/>
      <c r="M86" s="232"/>
      <c r="N86" s="158"/>
      <c r="O86" s="158"/>
      <c r="P86" s="232"/>
      <c r="Q86" s="142"/>
    </row>
    <row r="87" spans="2:17" ht="12.75">
      <c r="B87" s="155" t="s">
        <v>21</v>
      </c>
      <c r="C87" s="142"/>
      <c r="D87" s="156">
        <v>114</v>
      </c>
      <c r="E87" s="156">
        <f>I87-D87</f>
        <v>151</v>
      </c>
      <c r="F87" s="156">
        <v>182</v>
      </c>
      <c r="G87" s="157">
        <f t="shared" si="3"/>
        <v>222</v>
      </c>
      <c r="H87" s="156"/>
      <c r="I87" s="156">
        <v>265</v>
      </c>
      <c r="J87" s="157">
        <v>404</v>
      </c>
      <c r="K87" s="148"/>
      <c r="L87" s="158"/>
      <c r="M87" s="232"/>
      <c r="N87" s="158"/>
      <c r="O87" s="158"/>
      <c r="P87" s="232"/>
      <c r="Q87" s="142"/>
    </row>
    <row r="88" spans="2:17" ht="12.75">
      <c r="B88" s="155" t="s">
        <v>105</v>
      </c>
      <c r="C88" s="142"/>
      <c r="D88" s="164">
        <v>10</v>
      </c>
      <c r="E88" s="156">
        <f>I88-D88</f>
        <v>127</v>
      </c>
      <c r="F88" s="156">
        <v>190</v>
      </c>
      <c r="G88" s="157">
        <f t="shared" si="3"/>
        <v>227</v>
      </c>
      <c r="H88" s="156"/>
      <c r="I88" s="156">
        <v>137</v>
      </c>
      <c r="J88" s="157">
        <v>417</v>
      </c>
      <c r="K88" s="148"/>
      <c r="L88" s="158"/>
      <c r="M88" s="232"/>
      <c r="N88" s="158"/>
      <c r="O88" s="158"/>
      <c r="P88" s="232"/>
      <c r="Q88" s="142"/>
    </row>
    <row r="89" spans="2:17" ht="12.75">
      <c r="B89" s="155" t="s">
        <v>24</v>
      </c>
      <c r="C89" s="142"/>
      <c r="D89" s="159">
        <v>63</v>
      </c>
      <c r="E89" s="159">
        <f>I89-D89</f>
        <v>47</v>
      </c>
      <c r="F89" s="159">
        <v>75</v>
      </c>
      <c r="G89" s="160">
        <f t="shared" si="3"/>
        <v>62</v>
      </c>
      <c r="H89" s="156"/>
      <c r="I89" s="159">
        <v>110</v>
      </c>
      <c r="J89" s="160">
        <v>137</v>
      </c>
      <c r="K89" s="148"/>
      <c r="L89" s="158"/>
      <c r="M89" s="232"/>
      <c r="N89" s="158"/>
      <c r="O89" s="158"/>
      <c r="P89" s="232"/>
      <c r="Q89" s="142"/>
    </row>
    <row r="90" spans="1:19" s="4" customFormat="1" ht="12.75">
      <c r="A90" s="144"/>
      <c r="B90" s="161" t="s">
        <v>84</v>
      </c>
      <c r="C90" s="144"/>
      <c r="D90" s="156">
        <f>SUM(D85:D89)</f>
        <v>2025</v>
      </c>
      <c r="E90" s="156">
        <f>SUM(E85:E89)</f>
        <v>2248</v>
      </c>
      <c r="F90" s="156">
        <f>SUM(F85:F89)</f>
        <v>2560</v>
      </c>
      <c r="G90" s="157">
        <f t="shared" si="3"/>
        <v>2787</v>
      </c>
      <c r="H90" s="157"/>
      <c r="I90" s="156">
        <f>SUM(I85:I89)</f>
        <v>4273</v>
      </c>
      <c r="J90" s="157">
        <v>5347</v>
      </c>
      <c r="K90" s="153"/>
      <c r="L90" s="158">
        <v>0.9</v>
      </c>
      <c r="M90" s="232">
        <v>1.5</v>
      </c>
      <c r="N90" s="158"/>
      <c r="O90" s="158">
        <v>-2</v>
      </c>
      <c r="P90" s="232">
        <v>1.2</v>
      </c>
      <c r="Q90" s="144"/>
      <c r="R90" s="144"/>
      <c r="S90" s="144"/>
    </row>
    <row r="91" spans="2:17" ht="12.75">
      <c r="B91" s="155" t="s">
        <v>162</v>
      </c>
      <c r="C91" s="142"/>
      <c r="D91" s="159">
        <v>72</v>
      </c>
      <c r="E91" s="159">
        <f>I91-D91</f>
        <v>90</v>
      </c>
      <c r="F91" s="159">
        <v>92</v>
      </c>
      <c r="G91" s="160">
        <f t="shared" si="3"/>
        <v>108</v>
      </c>
      <c r="H91" s="156"/>
      <c r="I91" s="159">
        <v>162</v>
      </c>
      <c r="J91" s="160">
        <v>200</v>
      </c>
      <c r="K91" s="148"/>
      <c r="L91" s="158"/>
      <c r="M91" s="232"/>
      <c r="N91" s="158"/>
      <c r="O91" s="158"/>
      <c r="P91" s="232"/>
      <c r="Q91" s="142"/>
    </row>
    <row r="92" spans="1:19" s="4" customFormat="1" ht="12.75">
      <c r="A92" s="144"/>
      <c r="B92" s="161" t="s">
        <v>65</v>
      </c>
      <c r="C92" s="144"/>
      <c r="D92" s="156">
        <f>SUM(D90:D91)</f>
        <v>2097</v>
      </c>
      <c r="E92" s="156">
        <f>SUM(E90:E91)</f>
        <v>2338</v>
      </c>
      <c r="F92" s="156">
        <f>SUM(F90:F91)</f>
        <v>2652</v>
      </c>
      <c r="G92" s="157">
        <f t="shared" si="3"/>
        <v>2895</v>
      </c>
      <c r="H92" s="157"/>
      <c r="I92" s="156">
        <f>SUM(I90:I91)</f>
        <v>4435</v>
      </c>
      <c r="J92" s="157">
        <v>5547</v>
      </c>
      <c r="K92" s="153"/>
      <c r="L92" s="158">
        <v>1.1</v>
      </c>
      <c r="M92" s="232">
        <v>0.9</v>
      </c>
      <c r="N92" s="158"/>
      <c r="O92" s="158">
        <v>-2.1</v>
      </c>
      <c r="P92" s="232">
        <v>1</v>
      </c>
      <c r="Q92" s="144"/>
      <c r="R92" s="144"/>
      <c r="S92" s="144"/>
    </row>
    <row r="93" spans="2:17" ht="12.75">
      <c r="B93" s="155" t="s">
        <v>166</v>
      </c>
      <c r="C93" s="142"/>
      <c r="D93" s="156">
        <v>-437</v>
      </c>
      <c r="E93" s="156">
        <f>I93-D93</f>
        <v>-513</v>
      </c>
      <c r="F93" s="156">
        <v>-602</v>
      </c>
      <c r="G93" s="157">
        <f t="shared" si="3"/>
        <v>-645</v>
      </c>
      <c r="H93" s="156"/>
      <c r="I93" s="156">
        <v>-950</v>
      </c>
      <c r="J93" s="157">
        <v>-1247</v>
      </c>
      <c r="K93" s="148"/>
      <c r="L93" s="158"/>
      <c r="M93" s="232"/>
      <c r="N93" s="158"/>
      <c r="O93" s="158"/>
      <c r="P93" s="232"/>
      <c r="Q93" s="142"/>
    </row>
    <row r="94" spans="2:17" ht="12.75">
      <c r="B94" s="155" t="s">
        <v>167</v>
      </c>
      <c r="C94" s="142"/>
      <c r="D94" s="156">
        <v>-332</v>
      </c>
      <c r="E94" s="156">
        <f>I94-D94</f>
        <v>-477</v>
      </c>
      <c r="F94" s="156">
        <v>-485</v>
      </c>
      <c r="G94" s="157">
        <f t="shared" si="3"/>
        <v>-559</v>
      </c>
      <c r="H94" s="156"/>
      <c r="I94" s="156">
        <v>-809</v>
      </c>
      <c r="J94" s="157">
        <v>-1044</v>
      </c>
      <c r="K94" s="148"/>
      <c r="L94" s="158"/>
      <c r="M94" s="232"/>
      <c r="N94" s="158"/>
      <c r="O94" s="158"/>
      <c r="P94" s="232"/>
      <c r="Q94" s="142"/>
    </row>
    <row r="95" spans="2:17" ht="12.75">
      <c r="B95" s="155" t="s">
        <v>28</v>
      </c>
      <c r="C95" s="142"/>
      <c r="D95" s="159">
        <v>-292</v>
      </c>
      <c r="E95" s="159">
        <f>I95-D95</f>
        <v>-226</v>
      </c>
      <c r="F95" s="159">
        <v>-375</v>
      </c>
      <c r="G95" s="160">
        <f t="shared" si="3"/>
        <v>-457</v>
      </c>
      <c r="H95" s="156"/>
      <c r="I95" s="159">
        <v>-518</v>
      </c>
      <c r="J95" s="160">
        <v>-832</v>
      </c>
      <c r="K95" s="148"/>
      <c r="L95" s="158"/>
      <c r="M95" s="232"/>
      <c r="N95" s="158"/>
      <c r="O95" s="158"/>
      <c r="P95" s="232"/>
      <c r="Q95" s="142"/>
    </row>
    <row r="96" spans="1:19" s="4" customFormat="1" ht="12.75">
      <c r="A96" s="144"/>
      <c r="B96" s="161" t="s">
        <v>22</v>
      </c>
      <c r="C96" s="144"/>
      <c r="D96" s="156">
        <f>SUM(D92:D95)</f>
        <v>1036</v>
      </c>
      <c r="E96" s="156">
        <f>SUM(E92:E95)</f>
        <v>1122</v>
      </c>
      <c r="F96" s="156">
        <f>SUM(F92:F95)</f>
        <v>1190</v>
      </c>
      <c r="G96" s="157">
        <f t="shared" si="3"/>
        <v>1234</v>
      </c>
      <c r="H96" s="157"/>
      <c r="I96" s="156">
        <f>SUM(I92:I95)</f>
        <v>2158</v>
      </c>
      <c r="J96" s="157">
        <v>2424</v>
      </c>
      <c r="K96" s="153"/>
      <c r="L96" s="158">
        <v>-2.6</v>
      </c>
      <c r="M96" s="232">
        <v>-9.7</v>
      </c>
      <c r="N96" s="158"/>
      <c r="O96" s="158">
        <v>-3.2</v>
      </c>
      <c r="P96" s="232">
        <v>-6.4</v>
      </c>
      <c r="Q96" s="144"/>
      <c r="R96" s="144"/>
      <c r="S96" s="144"/>
    </row>
    <row r="97" spans="1:19" s="4" customFormat="1" ht="12.75">
      <c r="A97" s="144"/>
      <c r="B97" s="155" t="s">
        <v>180</v>
      </c>
      <c r="C97" s="144"/>
      <c r="D97" s="156"/>
      <c r="E97" s="156"/>
      <c r="F97" s="156"/>
      <c r="G97" s="157"/>
      <c r="H97" s="157"/>
      <c r="I97" s="156"/>
      <c r="J97" s="157"/>
      <c r="K97" s="153"/>
      <c r="L97" s="158"/>
      <c r="M97" s="232"/>
      <c r="N97" s="158"/>
      <c r="O97" s="158"/>
      <c r="P97" s="232"/>
      <c r="Q97" s="144"/>
      <c r="R97" s="144"/>
      <c r="S97" s="144"/>
    </row>
    <row r="98" spans="2:17" ht="12.75">
      <c r="B98" s="163" t="s">
        <v>181</v>
      </c>
      <c r="C98" s="142"/>
      <c r="D98" s="164">
        <v>0</v>
      </c>
      <c r="E98" s="156">
        <f>I98-D98</f>
        <v>-31</v>
      </c>
      <c r="F98" s="225">
        <v>-27</v>
      </c>
      <c r="G98" s="157">
        <f t="shared" si="3"/>
        <v>-28</v>
      </c>
      <c r="H98" s="156"/>
      <c r="I98" s="156">
        <v>-31</v>
      </c>
      <c r="J98" s="157">
        <v>-55</v>
      </c>
      <c r="K98" s="148"/>
      <c r="L98" s="158"/>
      <c r="M98" s="232"/>
      <c r="N98" s="158"/>
      <c r="O98" s="158"/>
      <c r="P98" s="232"/>
      <c r="Q98" s="142"/>
    </row>
    <row r="99" spans="2:17" ht="12.75">
      <c r="B99" s="163" t="s">
        <v>225</v>
      </c>
      <c r="C99" s="142"/>
      <c r="D99" s="156">
        <v>-39</v>
      </c>
      <c r="E99" s="156">
        <f>I99-D99</f>
        <v>-41</v>
      </c>
      <c r="F99" s="156">
        <v>-45</v>
      </c>
      <c r="G99" s="157">
        <f t="shared" si="3"/>
        <v>-50</v>
      </c>
      <c r="H99" s="156"/>
      <c r="I99" s="156">
        <v>-80</v>
      </c>
      <c r="J99" s="157">
        <v>-95</v>
      </c>
      <c r="K99" s="148"/>
      <c r="L99" s="158"/>
      <c r="M99" s="232"/>
      <c r="N99" s="158"/>
      <c r="O99" s="158"/>
      <c r="P99" s="232"/>
      <c r="Q99" s="142"/>
    </row>
    <row r="100" spans="2:17" ht="12.75">
      <c r="B100" s="163" t="s">
        <v>36</v>
      </c>
      <c r="C100" s="142"/>
      <c r="D100" s="156">
        <v>-221</v>
      </c>
      <c r="E100" s="156">
        <f>I100-D100</f>
        <v>-253</v>
      </c>
      <c r="F100" s="156">
        <v>-258</v>
      </c>
      <c r="G100" s="157">
        <f t="shared" si="3"/>
        <v>-282</v>
      </c>
      <c r="H100" s="156"/>
      <c r="I100" s="156">
        <v>-474</v>
      </c>
      <c r="J100" s="157">
        <v>-540</v>
      </c>
      <c r="K100" s="148"/>
      <c r="L100" s="158"/>
      <c r="M100" s="232"/>
      <c r="N100" s="158"/>
      <c r="O100" s="158"/>
      <c r="P100" s="232"/>
      <c r="Q100" s="142"/>
    </row>
    <row r="101" spans="2:17" ht="12.75">
      <c r="B101" s="155" t="s">
        <v>32</v>
      </c>
      <c r="C101" s="178"/>
      <c r="D101" s="176">
        <v>0</v>
      </c>
      <c r="E101" s="164">
        <f>I101-D101</f>
        <v>0</v>
      </c>
      <c r="F101" s="176">
        <v>0</v>
      </c>
      <c r="G101" s="157">
        <f t="shared" si="3"/>
        <v>0</v>
      </c>
      <c r="H101" s="164"/>
      <c r="I101" s="176">
        <v>0</v>
      </c>
      <c r="J101" s="177">
        <v>0</v>
      </c>
      <c r="K101" s="148"/>
      <c r="L101" s="158"/>
      <c r="M101" s="232"/>
      <c r="N101" s="158"/>
      <c r="O101" s="158"/>
      <c r="P101" s="232"/>
      <c r="Q101" s="142"/>
    </row>
    <row r="102" spans="1:19" s="4" customFormat="1" ht="13.5" thickBot="1">
      <c r="A102" s="144"/>
      <c r="B102" s="161" t="s">
        <v>33</v>
      </c>
      <c r="C102" s="144"/>
      <c r="D102" s="166">
        <f>D96+D98+D99+D100+D101</f>
        <v>776</v>
      </c>
      <c r="E102" s="166">
        <f>E96+E98+E99+E100+E101</f>
        <v>797</v>
      </c>
      <c r="F102" s="166">
        <f>F96+F98+F99+F100+F101</f>
        <v>860</v>
      </c>
      <c r="G102" s="167">
        <f t="shared" si="3"/>
        <v>874</v>
      </c>
      <c r="H102" s="157"/>
      <c r="I102" s="166">
        <f>I96+I98+I99+I100+I101</f>
        <v>1573</v>
      </c>
      <c r="J102" s="167">
        <v>1734</v>
      </c>
      <c r="K102" s="153"/>
      <c r="L102" s="158">
        <v>-3</v>
      </c>
      <c r="M102" s="232">
        <v>-9.7</v>
      </c>
      <c r="N102" s="158"/>
      <c r="O102" s="158">
        <v>-1.4</v>
      </c>
      <c r="P102" s="232">
        <v>-6.5</v>
      </c>
      <c r="Q102" s="144"/>
      <c r="R102" s="144"/>
      <c r="S102" s="144"/>
    </row>
    <row r="103" spans="2:17" ht="13.5" thickTop="1">
      <c r="B103" s="142"/>
      <c r="C103" s="142"/>
      <c r="D103" s="156"/>
      <c r="E103" s="156"/>
      <c r="F103" s="156"/>
      <c r="G103" s="157"/>
      <c r="H103" s="156"/>
      <c r="I103" s="156"/>
      <c r="J103" s="157"/>
      <c r="K103" s="148"/>
      <c r="L103" s="158"/>
      <c r="M103" s="232"/>
      <c r="N103" s="158"/>
      <c r="O103" s="158"/>
      <c r="P103" s="232"/>
      <c r="Q103" s="142"/>
    </row>
    <row r="104" spans="2:17" ht="12.75">
      <c r="B104" s="161" t="s">
        <v>38</v>
      </c>
      <c r="C104" s="142"/>
      <c r="D104" s="154">
        <f>D96/D92</f>
        <v>0.4940391034811636</v>
      </c>
      <c r="E104" s="154">
        <f>E96/E92</f>
        <v>0.4798973481608212</v>
      </c>
      <c r="F104" s="154">
        <f>F96/F92</f>
        <v>0.44871794871794873</v>
      </c>
      <c r="G104" s="168">
        <f>G96/G92</f>
        <v>0.42625215889464596</v>
      </c>
      <c r="H104" s="154"/>
      <c r="I104" s="154">
        <f>I96/I92</f>
        <v>0.48658399098083427</v>
      </c>
      <c r="J104" s="168">
        <f>J96/J92</f>
        <v>0.43699296917252567</v>
      </c>
      <c r="K104" s="148"/>
      <c r="L104" s="158"/>
      <c r="M104" s="232"/>
      <c r="N104" s="158"/>
      <c r="O104" s="158"/>
      <c r="P104" s="232"/>
      <c r="Q104" s="142"/>
    </row>
    <row r="105" spans="2:17" ht="12.75">
      <c r="B105" s="163" t="s">
        <v>81</v>
      </c>
      <c r="C105" s="142"/>
      <c r="D105" s="156">
        <v>145</v>
      </c>
      <c r="E105" s="156">
        <f>I105-D105</f>
        <v>266</v>
      </c>
      <c r="F105" s="156">
        <v>235</v>
      </c>
      <c r="G105" s="157">
        <f>J105-F105</f>
        <v>286</v>
      </c>
      <c r="H105" s="156"/>
      <c r="I105" s="156">
        <v>411</v>
      </c>
      <c r="J105" s="157">
        <v>521</v>
      </c>
      <c r="K105" s="148"/>
      <c r="L105" s="158"/>
      <c r="M105" s="232"/>
      <c r="N105" s="158"/>
      <c r="O105" s="158"/>
      <c r="P105" s="232"/>
      <c r="Q105" s="142"/>
    </row>
    <row r="106" spans="2:17" ht="12.75">
      <c r="B106" s="142"/>
      <c r="C106" s="142"/>
      <c r="D106" s="156"/>
      <c r="E106" s="156"/>
      <c r="F106" s="156"/>
      <c r="G106" s="157"/>
      <c r="H106" s="156"/>
      <c r="I106" s="156"/>
      <c r="J106" s="157"/>
      <c r="K106" s="148"/>
      <c r="L106" s="158"/>
      <c r="M106" s="232"/>
      <c r="N106" s="158"/>
      <c r="O106" s="158"/>
      <c r="P106" s="232"/>
      <c r="Q106" s="142"/>
    </row>
    <row r="107" spans="1:17" ht="12.75">
      <c r="A107" s="144" t="s">
        <v>69</v>
      </c>
      <c r="B107" s="142"/>
      <c r="C107" s="142"/>
      <c r="D107" s="156"/>
      <c r="E107" s="156"/>
      <c r="F107" s="156"/>
      <c r="G107" s="157"/>
      <c r="H107" s="156"/>
      <c r="I107" s="156"/>
      <c r="J107" s="157"/>
      <c r="K107" s="148"/>
      <c r="L107" s="158"/>
      <c r="M107" s="232"/>
      <c r="N107" s="158"/>
      <c r="O107" s="158"/>
      <c r="P107" s="232"/>
      <c r="Q107" s="142"/>
    </row>
    <row r="108" spans="2:17" ht="12.75">
      <c r="B108" s="155" t="s">
        <v>104</v>
      </c>
      <c r="C108" s="142"/>
      <c r="D108" s="156">
        <v>1766</v>
      </c>
      <c r="E108" s="156">
        <f>I108-D108</f>
        <v>1843</v>
      </c>
      <c r="F108" s="156">
        <v>1997</v>
      </c>
      <c r="G108" s="157">
        <f>J108-F108</f>
        <v>1994</v>
      </c>
      <c r="H108" s="156"/>
      <c r="I108" s="156">
        <v>3609</v>
      </c>
      <c r="J108" s="157">
        <v>3991</v>
      </c>
      <c r="K108" s="148"/>
      <c r="L108" s="158"/>
      <c r="M108" s="232"/>
      <c r="N108" s="158"/>
      <c r="O108" s="158"/>
      <c r="P108" s="232"/>
      <c r="Q108" s="142"/>
    </row>
    <row r="109" spans="2:17" ht="12.75">
      <c r="B109" s="155" t="s">
        <v>23</v>
      </c>
      <c r="C109" s="142"/>
      <c r="D109" s="156">
        <v>181</v>
      </c>
      <c r="E109" s="156">
        <f>I109-D109</f>
        <v>201</v>
      </c>
      <c r="F109" s="156">
        <v>208</v>
      </c>
      <c r="G109" s="157">
        <f aca="true" t="shared" si="4" ref="G109:G125">J109-F109</f>
        <v>222</v>
      </c>
      <c r="H109" s="156"/>
      <c r="I109" s="156">
        <v>382</v>
      </c>
      <c r="J109" s="157">
        <v>430</v>
      </c>
      <c r="K109" s="148"/>
      <c r="L109" s="158"/>
      <c r="M109" s="232"/>
      <c r="N109" s="158"/>
      <c r="O109" s="158"/>
      <c r="P109" s="232"/>
      <c r="Q109" s="142"/>
    </row>
    <row r="110" spans="2:17" ht="12.75">
      <c r="B110" s="155" t="s">
        <v>21</v>
      </c>
      <c r="C110" s="142"/>
      <c r="D110" s="156">
        <v>156</v>
      </c>
      <c r="E110" s="156">
        <f>I110-D110</f>
        <v>164</v>
      </c>
      <c r="F110" s="156">
        <v>186</v>
      </c>
      <c r="G110" s="157">
        <f t="shared" si="4"/>
        <v>233</v>
      </c>
      <c r="H110" s="156"/>
      <c r="I110" s="156">
        <v>320</v>
      </c>
      <c r="J110" s="157">
        <v>419</v>
      </c>
      <c r="K110" s="148"/>
      <c r="L110" s="158"/>
      <c r="M110" s="232"/>
      <c r="N110" s="158"/>
      <c r="O110" s="158"/>
      <c r="P110" s="232"/>
      <c r="Q110" s="142"/>
    </row>
    <row r="111" spans="2:17" ht="12.75">
      <c r="B111" s="155" t="s">
        <v>105</v>
      </c>
      <c r="C111" s="142"/>
      <c r="D111" s="156">
        <v>9</v>
      </c>
      <c r="E111" s="156">
        <f>I111-D111</f>
        <v>77</v>
      </c>
      <c r="F111" s="164">
        <v>121</v>
      </c>
      <c r="G111" s="157">
        <f t="shared" si="4"/>
        <v>144</v>
      </c>
      <c r="H111" s="156"/>
      <c r="I111" s="156">
        <v>86</v>
      </c>
      <c r="J111" s="157">
        <v>265</v>
      </c>
      <c r="K111" s="148"/>
      <c r="L111" s="158"/>
      <c r="M111" s="232"/>
      <c r="N111" s="158"/>
      <c r="O111" s="158"/>
      <c r="P111" s="232"/>
      <c r="Q111" s="142"/>
    </row>
    <row r="112" spans="2:17" ht="12.75">
      <c r="B112" s="155" t="s">
        <v>24</v>
      </c>
      <c r="C112" s="142"/>
      <c r="D112" s="176">
        <v>139</v>
      </c>
      <c r="E112" s="159">
        <f>I112-D112</f>
        <v>110</v>
      </c>
      <c r="F112" s="176">
        <v>158</v>
      </c>
      <c r="G112" s="160">
        <f t="shared" si="4"/>
        <v>93</v>
      </c>
      <c r="H112" s="156"/>
      <c r="I112" s="159">
        <v>249</v>
      </c>
      <c r="J112" s="160">
        <v>251</v>
      </c>
      <c r="K112" s="148"/>
      <c r="L112" s="158"/>
      <c r="M112" s="232"/>
      <c r="N112" s="158"/>
      <c r="O112" s="158"/>
      <c r="P112" s="232"/>
      <c r="Q112" s="142"/>
    </row>
    <row r="113" spans="1:19" s="4" customFormat="1" ht="12.75">
      <c r="A113" s="144"/>
      <c r="B113" s="161" t="s">
        <v>84</v>
      </c>
      <c r="C113" s="144"/>
      <c r="D113" s="156">
        <f>SUM(D108:D112)</f>
        <v>2251</v>
      </c>
      <c r="E113" s="156">
        <f>SUM(E108:E112)</f>
        <v>2395</v>
      </c>
      <c r="F113" s="156">
        <f>SUM(F108:F112)</f>
        <v>2670</v>
      </c>
      <c r="G113" s="157">
        <f t="shared" si="4"/>
        <v>2686</v>
      </c>
      <c r="H113" s="157"/>
      <c r="I113" s="156">
        <f>SUM(I108:I112)</f>
        <v>4646</v>
      </c>
      <c r="J113" s="157">
        <v>5356</v>
      </c>
      <c r="K113" s="153"/>
      <c r="L113" s="158">
        <v>-2.4</v>
      </c>
      <c r="M113" s="232">
        <v>-7.3</v>
      </c>
      <c r="N113" s="158"/>
      <c r="O113" s="158">
        <v>8.1</v>
      </c>
      <c r="P113" s="232">
        <v>-4.9</v>
      </c>
      <c r="Q113" s="144"/>
      <c r="R113" s="144"/>
      <c r="S113" s="144"/>
    </row>
    <row r="114" spans="2:17" ht="12.75">
      <c r="B114" s="155" t="s">
        <v>162</v>
      </c>
      <c r="C114" s="142"/>
      <c r="D114" s="159">
        <v>188</v>
      </c>
      <c r="E114" s="159">
        <f>I114-D114</f>
        <v>229</v>
      </c>
      <c r="F114" s="159">
        <v>218</v>
      </c>
      <c r="G114" s="160">
        <f t="shared" si="4"/>
        <v>238</v>
      </c>
      <c r="H114" s="156"/>
      <c r="I114" s="159">
        <v>417</v>
      </c>
      <c r="J114" s="160">
        <v>456</v>
      </c>
      <c r="K114" s="148"/>
      <c r="L114" s="158"/>
      <c r="M114" s="232"/>
      <c r="N114" s="158"/>
      <c r="O114" s="158"/>
      <c r="P114" s="232"/>
      <c r="Q114" s="142"/>
    </row>
    <row r="115" spans="1:19" s="4" customFormat="1" ht="12.75">
      <c r="A115" s="144"/>
      <c r="B115" s="161" t="s">
        <v>65</v>
      </c>
      <c r="C115" s="144"/>
      <c r="D115" s="156">
        <f>SUM(D113:D114)</f>
        <v>2439</v>
      </c>
      <c r="E115" s="156">
        <f>SUM(E113:E114)</f>
        <v>2624</v>
      </c>
      <c r="F115" s="156">
        <f>SUM(F113:F114)</f>
        <v>2888</v>
      </c>
      <c r="G115" s="157">
        <f t="shared" si="4"/>
        <v>2924</v>
      </c>
      <c r="H115" s="157"/>
      <c r="I115" s="156">
        <f>SUM(I113:I114)</f>
        <v>5063</v>
      </c>
      <c r="J115" s="157">
        <v>5812</v>
      </c>
      <c r="K115" s="153"/>
      <c r="L115" s="158">
        <v>-2.4</v>
      </c>
      <c r="M115" s="232">
        <v>-7.8</v>
      </c>
      <c r="N115" s="158"/>
      <c r="O115" s="158">
        <v>6.6</v>
      </c>
      <c r="P115" s="232">
        <v>-5.2</v>
      </c>
      <c r="Q115" s="144"/>
      <c r="R115" s="144"/>
      <c r="S115" s="144"/>
    </row>
    <row r="116" spans="2:17" ht="12.75">
      <c r="B116" s="155" t="s">
        <v>166</v>
      </c>
      <c r="C116" s="142"/>
      <c r="D116" s="156">
        <v>-490</v>
      </c>
      <c r="E116" s="156">
        <f>I116-D116</f>
        <v>-562</v>
      </c>
      <c r="F116" s="156">
        <v>-617</v>
      </c>
      <c r="G116" s="157">
        <f t="shared" si="4"/>
        <v>-625</v>
      </c>
      <c r="H116" s="156"/>
      <c r="I116" s="156">
        <v>-1052</v>
      </c>
      <c r="J116" s="157">
        <v>-1242</v>
      </c>
      <c r="K116" s="148"/>
      <c r="L116" s="158"/>
      <c r="M116" s="232"/>
      <c r="N116" s="158"/>
      <c r="O116" s="158"/>
      <c r="P116" s="232"/>
      <c r="Q116" s="142"/>
    </row>
    <row r="117" spans="2:17" ht="12.75">
      <c r="B117" s="155" t="s">
        <v>167</v>
      </c>
      <c r="C117" s="142"/>
      <c r="D117" s="156">
        <v>-742</v>
      </c>
      <c r="E117" s="156">
        <f>I117-D117</f>
        <v>-923</v>
      </c>
      <c r="F117" s="156">
        <v>-941</v>
      </c>
      <c r="G117" s="157">
        <f t="shared" si="4"/>
        <v>-1047</v>
      </c>
      <c r="H117" s="156"/>
      <c r="I117" s="156">
        <v>-1665</v>
      </c>
      <c r="J117" s="157">
        <v>-1988</v>
      </c>
      <c r="K117" s="148"/>
      <c r="L117" s="158"/>
      <c r="M117" s="232"/>
      <c r="N117" s="158"/>
      <c r="O117" s="158"/>
      <c r="P117" s="232"/>
      <c r="Q117" s="142"/>
    </row>
    <row r="118" spans="2:17" ht="12.75">
      <c r="B118" s="155" t="s">
        <v>28</v>
      </c>
      <c r="C118" s="142"/>
      <c r="D118" s="159">
        <v>-258</v>
      </c>
      <c r="E118" s="159">
        <f>I118-D118</f>
        <v>-282</v>
      </c>
      <c r="F118" s="159">
        <v>-334</v>
      </c>
      <c r="G118" s="160">
        <f t="shared" si="4"/>
        <v>-351</v>
      </c>
      <c r="H118" s="156"/>
      <c r="I118" s="159">
        <v>-540</v>
      </c>
      <c r="J118" s="160">
        <v>-685</v>
      </c>
      <c r="K118" s="148"/>
      <c r="L118" s="158"/>
      <c r="M118" s="232"/>
      <c r="N118" s="158"/>
      <c r="O118" s="158"/>
      <c r="P118" s="232"/>
      <c r="Q118" s="142"/>
    </row>
    <row r="119" spans="1:19" s="4" customFormat="1" ht="12.75">
      <c r="A119" s="144"/>
      <c r="B119" s="161" t="s">
        <v>22</v>
      </c>
      <c r="C119" s="144"/>
      <c r="D119" s="156">
        <f>SUM(D115:D118)</f>
        <v>949</v>
      </c>
      <c r="E119" s="156">
        <f>SUM(E115:E118)</f>
        <v>857</v>
      </c>
      <c r="F119" s="156">
        <f>SUM(F115:F118)</f>
        <v>996</v>
      </c>
      <c r="G119" s="157">
        <f t="shared" si="4"/>
        <v>901</v>
      </c>
      <c r="H119" s="157"/>
      <c r="I119" s="156">
        <f>SUM(I115:I118)</f>
        <v>1806</v>
      </c>
      <c r="J119" s="157">
        <v>1897</v>
      </c>
      <c r="K119" s="153"/>
      <c r="L119" s="158">
        <v>-9.3</v>
      </c>
      <c r="M119" s="232">
        <v>-11.8</v>
      </c>
      <c r="N119" s="158"/>
      <c r="O119" s="158">
        <v>11.1</v>
      </c>
      <c r="P119" s="232">
        <v>-10.5</v>
      </c>
      <c r="Q119" s="144"/>
      <c r="R119" s="144"/>
      <c r="S119" s="144"/>
    </row>
    <row r="120" spans="1:19" s="4" customFormat="1" ht="12.75">
      <c r="A120" s="144"/>
      <c r="B120" s="155" t="s">
        <v>180</v>
      </c>
      <c r="C120" s="144"/>
      <c r="D120" s="156"/>
      <c r="E120" s="156"/>
      <c r="F120" s="156"/>
      <c r="G120" s="157"/>
      <c r="H120" s="157"/>
      <c r="I120" s="156"/>
      <c r="J120" s="157"/>
      <c r="K120" s="153"/>
      <c r="L120" s="158"/>
      <c r="M120" s="232"/>
      <c r="N120" s="158"/>
      <c r="O120" s="158"/>
      <c r="P120" s="232"/>
      <c r="Q120" s="144"/>
      <c r="R120" s="144"/>
      <c r="S120" s="144"/>
    </row>
    <row r="121" spans="2:17" ht="12.75">
      <c r="B121" s="163" t="s">
        <v>181</v>
      </c>
      <c r="C121" s="142"/>
      <c r="D121" s="164">
        <v>0</v>
      </c>
      <c r="E121" s="156">
        <f>I121-D121</f>
        <v>-14</v>
      </c>
      <c r="F121" s="225">
        <v>-4</v>
      </c>
      <c r="G121" s="157">
        <f t="shared" si="4"/>
        <v>-4</v>
      </c>
      <c r="H121" s="156"/>
      <c r="I121" s="156">
        <v>-14</v>
      </c>
      <c r="J121" s="157">
        <v>-8</v>
      </c>
      <c r="K121" s="148"/>
      <c r="L121" s="158"/>
      <c r="M121" s="232"/>
      <c r="N121" s="158"/>
      <c r="O121" s="158"/>
      <c r="P121" s="232"/>
      <c r="Q121" s="142"/>
    </row>
    <row r="122" spans="2:17" ht="12.75">
      <c r="B122" s="163" t="s">
        <v>225</v>
      </c>
      <c r="C122" s="142"/>
      <c r="D122" s="156">
        <v>-3</v>
      </c>
      <c r="E122" s="156">
        <f>I122-D122</f>
        <v>-3</v>
      </c>
      <c r="F122" s="156">
        <v>-3</v>
      </c>
      <c r="G122" s="157">
        <f t="shared" si="4"/>
        <v>-4</v>
      </c>
      <c r="H122" s="156"/>
      <c r="I122" s="156">
        <v>-6</v>
      </c>
      <c r="J122" s="157">
        <v>-7</v>
      </c>
      <c r="K122" s="148"/>
      <c r="L122" s="158"/>
      <c r="M122" s="232"/>
      <c r="N122" s="158"/>
      <c r="O122" s="158"/>
      <c r="P122" s="232"/>
      <c r="Q122" s="142"/>
    </row>
    <row r="123" spans="2:17" ht="12.75">
      <c r="B123" s="163" t="s">
        <v>36</v>
      </c>
      <c r="C123" s="142"/>
      <c r="D123" s="156">
        <v>-231</v>
      </c>
      <c r="E123" s="156">
        <f>I123-D123</f>
        <v>-273</v>
      </c>
      <c r="F123" s="156">
        <v>-270</v>
      </c>
      <c r="G123" s="157">
        <f t="shared" si="4"/>
        <v>-289</v>
      </c>
      <c r="H123" s="156"/>
      <c r="I123" s="156">
        <v>-504</v>
      </c>
      <c r="J123" s="157">
        <v>-559</v>
      </c>
      <c r="K123" s="148"/>
      <c r="L123" s="158"/>
      <c r="M123" s="232"/>
      <c r="N123" s="158"/>
      <c r="O123" s="158"/>
      <c r="P123" s="232"/>
      <c r="Q123" s="142"/>
    </row>
    <row r="124" spans="2:17" ht="12.75">
      <c r="B124" s="155" t="s">
        <v>32</v>
      </c>
      <c r="C124" s="142"/>
      <c r="D124" s="176">
        <v>0</v>
      </c>
      <c r="E124" s="164">
        <f>I124-D124</f>
        <v>0</v>
      </c>
      <c r="F124" s="176">
        <v>0</v>
      </c>
      <c r="G124" s="177">
        <v>0</v>
      </c>
      <c r="H124" s="164"/>
      <c r="I124" s="176">
        <v>0</v>
      </c>
      <c r="J124" s="177">
        <v>0</v>
      </c>
      <c r="K124" s="148"/>
      <c r="L124" s="158"/>
      <c r="M124" s="232"/>
      <c r="N124" s="158"/>
      <c r="O124" s="158"/>
      <c r="P124" s="232"/>
      <c r="Q124" s="142"/>
    </row>
    <row r="125" spans="1:19" s="4" customFormat="1" ht="13.5" thickBot="1">
      <c r="A125" s="144"/>
      <c r="B125" s="161" t="s">
        <v>33</v>
      </c>
      <c r="C125" s="144"/>
      <c r="D125" s="166">
        <f>D119+D121+D122+D123+D124</f>
        <v>715</v>
      </c>
      <c r="E125" s="166">
        <f>E119+E121+E122+E123+E124</f>
        <v>567</v>
      </c>
      <c r="F125" s="166">
        <f>F119+F121+F122+F123+F124</f>
        <v>719</v>
      </c>
      <c r="G125" s="167">
        <f t="shared" si="4"/>
        <v>604</v>
      </c>
      <c r="H125" s="157"/>
      <c r="I125" s="166">
        <f>I119+I121+I122+I123+I124</f>
        <v>1282</v>
      </c>
      <c r="J125" s="167">
        <v>1323</v>
      </c>
      <c r="K125" s="153"/>
      <c r="L125" s="158">
        <v>-11.2</v>
      </c>
      <c r="M125" s="232">
        <v>-10</v>
      </c>
      <c r="N125" s="158"/>
      <c r="O125" s="158">
        <v>14.4</v>
      </c>
      <c r="P125" s="232">
        <v>-10.6</v>
      </c>
      <c r="Q125" s="144"/>
      <c r="R125" s="144"/>
      <c r="S125" s="144"/>
    </row>
    <row r="126" spans="2:17" ht="13.5" thickTop="1">
      <c r="B126" s="142"/>
      <c r="C126" s="142"/>
      <c r="D126" s="156"/>
      <c r="E126" s="156"/>
      <c r="F126" s="156"/>
      <c r="G126" s="157"/>
      <c r="H126" s="156"/>
      <c r="I126" s="156"/>
      <c r="J126" s="157"/>
      <c r="K126" s="148"/>
      <c r="L126" s="158"/>
      <c r="M126" s="232"/>
      <c r="N126" s="158"/>
      <c r="O126" s="158"/>
      <c r="P126" s="232"/>
      <c r="Q126" s="142"/>
    </row>
    <row r="127" spans="2:17" ht="12.75">
      <c r="B127" s="161" t="s">
        <v>38</v>
      </c>
      <c r="C127" s="142"/>
      <c r="D127" s="154">
        <f>D119/D115</f>
        <v>0.3890938909389094</v>
      </c>
      <c r="E127" s="154">
        <f>E119/E115</f>
        <v>0.32660060975609756</v>
      </c>
      <c r="F127" s="154">
        <f>F119/F115</f>
        <v>0.3448753462603878</v>
      </c>
      <c r="G127" s="168">
        <f>G119/G115</f>
        <v>0.3081395348837209</v>
      </c>
      <c r="H127" s="154"/>
      <c r="I127" s="154">
        <f>I119/I115</f>
        <v>0.3567055105668576</v>
      </c>
      <c r="J127" s="168">
        <f>J119/J115</f>
        <v>0.32639366827253957</v>
      </c>
      <c r="K127" s="148"/>
      <c r="L127" s="158"/>
      <c r="M127" s="232"/>
      <c r="N127" s="158"/>
      <c r="O127" s="158"/>
      <c r="P127" s="232"/>
      <c r="Q127" s="142"/>
    </row>
    <row r="128" spans="2:17" ht="12.75">
      <c r="B128" s="163" t="s">
        <v>81</v>
      </c>
      <c r="C128" s="142"/>
      <c r="D128" s="156">
        <v>194</v>
      </c>
      <c r="E128" s="156">
        <f>I128-D128</f>
        <v>339</v>
      </c>
      <c r="F128" s="156">
        <v>226</v>
      </c>
      <c r="G128" s="157">
        <f>J128-F128</f>
        <v>406</v>
      </c>
      <c r="H128" s="156"/>
      <c r="I128" s="156">
        <v>533</v>
      </c>
      <c r="J128" s="157">
        <v>632</v>
      </c>
      <c r="K128" s="148"/>
      <c r="L128" s="158"/>
      <c r="M128" s="232"/>
      <c r="N128" s="158"/>
      <c r="O128" s="158"/>
      <c r="P128" s="232"/>
      <c r="Q128" s="142"/>
    </row>
    <row r="129" spans="2:17" ht="12.75">
      <c r="B129" s="142"/>
      <c r="C129" s="142"/>
      <c r="D129" s="156"/>
      <c r="E129" s="156"/>
      <c r="F129" s="156"/>
      <c r="G129" s="157"/>
      <c r="H129" s="156"/>
      <c r="I129" s="156"/>
      <c r="J129" s="157"/>
      <c r="K129" s="148"/>
      <c r="L129" s="158"/>
      <c r="M129" s="232"/>
      <c r="N129" s="158"/>
      <c r="O129" s="158"/>
      <c r="P129" s="232"/>
      <c r="Q129" s="142"/>
    </row>
    <row r="130" spans="1:17" ht="12.75">
      <c r="A130" s="144" t="s">
        <v>70</v>
      </c>
      <c r="B130" s="142"/>
      <c r="C130" s="142"/>
      <c r="D130" s="156"/>
      <c r="E130" s="156"/>
      <c r="F130" s="156"/>
      <c r="G130" s="157"/>
      <c r="H130" s="156"/>
      <c r="I130" s="156"/>
      <c r="J130" s="157"/>
      <c r="K130" s="148"/>
      <c r="L130" s="158"/>
      <c r="M130" s="232"/>
      <c r="N130" s="158"/>
      <c r="O130" s="158"/>
      <c r="P130" s="232"/>
      <c r="Q130" s="142"/>
    </row>
    <row r="131" spans="2:17" ht="12.75">
      <c r="B131" s="155" t="s">
        <v>104</v>
      </c>
      <c r="C131" s="142"/>
      <c r="D131" s="156">
        <v>1776</v>
      </c>
      <c r="E131" s="156">
        <f>I131-D131</f>
        <v>1675</v>
      </c>
      <c r="F131" s="156">
        <v>1638</v>
      </c>
      <c r="G131" s="157">
        <f>J131-F131</f>
        <v>1562</v>
      </c>
      <c r="H131" s="156"/>
      <c r="I131" s="156">
        <v>3451</v>
      </c>
      <c r="J131" s="157">
        <v>3200</v>
      </c>
      <c r="K131" s="148"/>
      <c r="L131" s="158"/>
      <c r="M131" s="232"/>
      <c r="N131" s="158"/>
      <c r="O131" s="158"/>
      <c r="P131" s="232"/>
      <c r="Q131" s="142"/>
    </row>
    <row r="132" spans="2:17" ht="12.75">
      <c r="B132" s="155" t="s">
        <v>23</v>
      </c>
      <c r="C132" s="142"/>
      <c r="D132" s="156">
        <v>433</v>
      </c>
      <c r="E132" s="156">
        <f>I132-D132</f>
        <v>470</v>
      </c>
      <c r="F132" s="156">
        <v>472</v>
      </c>
      <c r="G132" s="157">
        <f aca="true" t="shared" si="5" ref="G132:G148">J132-F132</f>
        <v>467</v>
      </c>
      <c r="H132" s="156"/>
      <c r="I132" s="156">
        <v>903</v>
      </c>
      <c r="J132" s="157">
        <v>939</v>
      </c>
      <c r="K132" s="148"/>
      <c r="L132" s="158"/>
      <c r="M132" s="232"/>
      <c r="N132" s="158"/>
      <c r="O132" s="158"/>
      <c r="P132" s="232"/>
      <c r="Q132" s="142"/>
    </row>
    <row r="133" spans="2:17" ht="12.75">
      <c r="B133" s="155" t="s">
        <v>21</v>
      </c>
      <c r="C133" s="142"/>
      <c r="D133" s="156">
        <v>173</v>
      </c>
      <c r="E133" s="156">
        <f>I133-D133</f>
        <v>192</v>
      </c>
      <c r="F133" s="156">
        <v>226</v>
      </c>
      <c r="G133" s="157">
        <f t="shared" si="5"/>
        <v>244</v>
      </c>
      <c r="H133" s="156"/>
      <c r="I133" s="156">
        <v>365</v>
      </c>
      <c r="J133" s="157">
        <v>470</v>
      </c>
      <c r="K133" s="148"/>
      <c r="L133" s="158"/>
      <c r="M133" s="232"/>
      <c r="N133" s="158"/>
      <c r="O133" s="158"/>
      <c r="P133" s="232"/>
      <c r="Q133" s="142"/>
    </row>
    <row r="134" spans="2:17" ht="12.75">
      <c r="B134" s="155" t="s">
        <v>105</v>
      </c>
      <c r="C134" s="142"/>
      <c r="D134" s="156">
        <v>12</v>
      </c>
      <c r="E134" s="156">
        <f>I134-D134</f>
        <v>12</v>
      </c>
      <c r="F134" s="156">
        <v>15</v>
      </c>
      <c r="G134" s="157">
        <f t="shared" si="5"/>
        <v>16</v>
      </c>
      <c r="H134" s="156"/>
      <c r="I134" s="156">
        <v>24</v>
      </c>
      <c r="J134" s="157">
        <v>31</v>
      </c>
      <c r="K134" s="148"/>
      <c r="L134" s="158"/>
      <c r="M134" s="232"/>
      <c r="N134" s="158"/>
      <c r="O134" s="158"/>
      <c r="P134" s="232"/>
      <c r="Q134" s="142"/>
    </row>
    <row r="135" spans="2:17" ht="12.75">
      <c r="B135" s="155" t="s">
        <v>24</v>
      </c>
      <c r="C135" s="142"/>
      <c r="D135" s="159">
        <v>109</v>
      </c>
      <c r="E135" s="159">
        <f>I135-D135</f>
        <v>100</v>
      </c>
      <c r="F135" s="159">
        <v>125</v>
      </c>
      <c r="G135" s="160">
        <f t="shared" si="5"/>
        <v>147</v>
      </c>
      <c r="H135" s="156"/>
      <c r="I135" s="159">
        <v>209</v>
      </c>
      <c r="J135" s="160">
        <v>272</v>
      </c>
      <c r="K135" s="148"/>
      <c r="L135" s="158"/>
      <c r="M135" s="232"/>
      <c r="N135" s="158"/>
      <c r="O135" s="158"/>
      <c r="P135" s="232"/>
      <c r="Q135" s="142"/>
    </row>
    <row r="136" spans="1:19" s="4" customFormat="1" ht="12.75">
      <c r="A136" s="144"/>
      <c r="B136" s="161" t="s">
        <v>84</v>
      </c>
      <c r="C136" s="144"/>
      <c r="D136" s="156">
        <f>SUM(D131:D135)</f>
        <v>2503</v>
      </c>
      <c r="E136" s="156">
        <f>SUM(E131:E135)</f>
        <v>2449</v>
      </c>
      <c r="F136" s="156">
        <f>SUM(F131:F135)</f>
        <v>2476</v>
      </c>
      <c r="G136" s="157">
        <f t="shared" si="5"/>
        <v>2436</v>
      </c>
      <c r="H136" s="157"/>
      <c r="I136" s="156">
        <f>SUM(I131:I135)</f>
        <v>4952</v>
      </c>
      <c r="J136" s="157">
        <v>4912</v>
      </c>
      <c r="K136" s="153"/>
      <c r="L136" s="158">
        <v>-1.1</v>
      </c>
      <c r="M136" s="232">
        <v>-1.1</v>
      </c>
      <c r="N136" s="158"/>
      <c r="O136" s="158">
        <v>5.8</v>
      </c>
      <c r="P136" s="232">
        <v>-1.1</v>
      </c>
      <c r="Q136" s="144"/>
      <c r="R136" s="144"/>
      <c r="S136" s="144"/>
    </row>
    <row r="137" spans="2:17" ht="12.75">
      <c r="B137" s="155" t="s">
        <v>162</v>
      </c>
      <c r="C137" s="142"/>
      <c r="D137" s="159">
        <v>214</v>
      </c>
      <c r="E137" s="159">
        <f>I137-D137</f>
        <v>258</v>
      </c>
      <c r="F137" s="159">
        <v>238</v>
      </c>
      <c r="G137" s="160">
        <f t="shared" si="5"/>
        <v>242</v>
      </c>
      <c r="H137" s="156"/>
      <c r="I137" s="159">
        <v>472</v>
      </c>
      <c r="J137" s="160">
        <v>480</v>
      </c>
      <c r="K137" s="148"/>
      <c r="L137" s="158"/>
      <c r="M137" s="232"/>
      <c r="N137" s="158"/>
      <c r="O137" s="158"/>
      <c r="P137" s="232"/>
      <c r="Q137" s="142"/>
    </row>
    <row r="138" spans="1:19" s="4" customFormat="1" ht="12.75">
      <c r="A138" s="144"/>
      <c r="B138" s="161" t="s">
        <v>65</v>
      </c>
      <c r="C138" s="144"/>
      <c r="D138" s="156">
        <f>SUM(D136:D137)</f>
        <v>2717</v>
      </c>
      <c r="E138" s="156">
        <f>SUM(E136:E137)</f>
        <v>2707</v>
      </c>
      <c r="F138" s="156">
        <f>SUM(F136:F137)</f>
        <v>2714</v>
      </c>
      <c r="G138" s="157">
        <f t="shared" si="5"/>
        <v>2678</v>
      </c>
      <c r="H138" s="157"/>
      <c r="I138" s="156">
        <f>SUM(I136:I137)</f>
        <v>5424</v>
      </c>
      <c r="J138" s="157">
        <v>5392</v>
      </c>
      <c r="K138" s="153"/>
      <c r="L138" s="158">
        <v>-0.1</v>
      </c>
      <c r="M138" s="232">
        <v>-1.6</v>
      </c>
      <c r="N138" s="158"/>
      <c r="O138" s="158">
        <v>5.9</v>
      </c>
      <c r="P138" s="232">
        <v>-0.8</v>
      </c>
      <c r="Q138" s="144"/>
      <c r="R138" s="144"/>
      <c r="S138" s="144"/>
    </row>
    <row r="139" spans="2:17" ht="12.75">
      <c r="B139" s="155" t="s">
        <v>166</v>
      </c>
      <c r="C139" s="142"/>
      <c r="D139" s="156">
        <v>-781</v>
      </c>
      <c r="E139" s="156">
        <f>I139-D139</f>
        <v>-756</v>
      </c>
      <c r="F139" s="156">
        <v>-801</v>
      </c>
      <c r="G139" s="157">
        <f t="shared" si="5"/>
        <v>-838</v>
      </c>
      <c r="H139" s="156"/>
      <c r="I139" s="156">
        <v>-1537</v>
      </c>
      <c r="J139" s="157">
        <v>-1639</v>
      </c>
      <c r="K139" s="148"/>
      <c r="L139" s="158"/>
      <c r="M139" s="232"/>
      <c r="N139" s="158"/>
      <c r="O139" s="158"/>
      <c r="P139" s="232"/>
      <c r="Q139" s="142"/>
    </row>
    <row r="140" spans="2:17" ht="12.75">
      <c r="B140" s="155" t="s">
        <v>167</v>
      </c>
      <c r="C140" s="142"/>
      <c r="D140" s="156">
        <v>-851</v>
      </c>
      <c r="E140" s="156">
        <f>I140-D140</f>
        <v>-888</v>
      </c>
      <c r="F140" s="156">
        <v>-911</v>
      </c>
      <c r="G140" s="157">
        <f t="shared" si="5"/>
        <v>-884</v>
      </c>
      <c r="H140" s="156"/>
      <c r="I140" s="156">
        <v>-1739</v>
      </c>
      <c r="J140" s="157">
        <v>-1795</v>
      </c>
      <c r="K140" s="148"/>
      <c r="L140" s="158"/>
      <c r="M140" s="232"/>
      <c r="N140" s="158"/>
      <c r="O140" s="158"/>
      <c r="P140" s="232"/>
      <c r="Q140" s="142"/>
    </row>
    <row r="141" spans="2:17" ht="12.75">
      <c r="B141" s="155" t="s">
        <v>28</v>
      </c>
      <c r="C141" s="142"/>
      <c r="D141" s="159">
        <v>-351</v>
      </c>
      <c r="E141" s="159">
        <f>I141-D141</f>
        <v>-366</v>
      </c>
      <c r="F141" s="159">
        <v>-372</v>
      </c>
      <c r="G141" s="160">
        <f t="shared" si="5"/>
        <v>-367</v>
      </c>
      <c r="H141" s="156"/>
      <c r="I141" s="159">
        <v>-717</v>
      </c>
      <c r="J141" s="160">
        <v>-739</v>
      </c>
      <c r="K141" s="148"/>
      <c r="L141" s="158"/>
      <c r="M141" s="232"/>
      <c r="N141" s="158"/>
      <c r="O141" s="158"/>
      <c r="P141" s="232"/>
      <c r="Q141" s="142"/>
    </row>
    <row r="142" spans="1:19" s="4" customFormat="1" ht="12.75">
      <c r="A142" s="144"/>
      <c r="B142" s="161" t="s">
        <v>22</v>
      </c>
      <c r="C142" s="144"/>
      <c r="D142" s="156">
        <f>SUM(D138:D141)</f>
        <v>734</v>
      </c>
      <c r="E142" s="156">
        <f>SUM(E138:E141)</f>
        <v>697</v>
      </c>
      <c r="F142" s="156">
        <f>SUM(F138:F141)</f>
        <v>630</v>
      </c>
      <c r="G142" s="157">
        <f t="shared" si="5"/>
        <v>589</v>
      </c>
      <c r="H142" s="157"/>
      <c r="I142" s="156">
        <f>SUM(I138:I141)</f>
        <v>1431</v>
      </c>
      <c r="J142" s="157">
        <v>1219</v>
      </c>
      <c r="K142" s="153"/>
      <c r="L142" s="158">
        <v>-14.2</v>
      </c>
      <c r="M142" s="232">
        <v>-16.5</v>
      </c>
      <c r="N142" s="158"/>
      <c r="O142" s="158">
        <v>-1.9</v>
      </c>
      <c r="P142" s="232">
        <v>-15.3</v>
      </c>
      <c r="Q142" s="144"/>
      <c r="R142" s="144"/>
      <c r="S142" s="144"/>
    </row>
    <row r="143" spans="1:19" s="4" customFormat="1" ht="12.75">
      <c r="A143" s="144"/>
      <c r="B143" s="155" t="s">
        <v>180</v>
      </c>
      <c r="C143" s="144"/>
      <c r="D143" s="156"/>
      <c r="E143" s="156"/>
      <c r="F143" s="156"/>
      <c r="G143" s="157"/>
      <c r="H143" s="157"/>
      <c r="I143" s="156"/>
      <c r="J143" s="157"/>
      <c r="K143" s="153"/>
      <c r="L143" s="158"/>
      <c r="M143" s="232"/>
      <c r="N143" s="158"/>
      <c r="O143" s="158"/>
      <c r="P143" s="232"/>
      <c r="Q143" s="144"/>
      <c r="R143" s="144"/>
      <c r="S143" s="144"/>
    </row>
    <row r="144" spans="2:17" ht="12.75">
      <c r="B144" s="163" t="s">
        <v>181</v>
      </c>
      <c r="C144" s="142"/>
      <c r="D144" s="156">
        <v>-11</v>
      </c>
      <c r="E144" s="156">
        <f>I144-D144</f>
        <v>-11</v>
      </c>
      <c r="F144" s="156">
        <v>-9</v>
      </c>
      <c r="G144" s="157">
        <f t="shared" si="5"/>
        <v>-8</v>
      </c>
      <c r="H144" s="156"/>
      <c r="I144" s="156">
        <v>-22</v>
      </c>
      <c r="J144" s="157">
        <v>-17</v>
      </c>
      <c r="K144" s="148"/>
      <c r="L144" s="158"/>
      <c r="M144" s="232"/>
      <c r="N144" s="158"/>
      <c r="O144" s="158"/>
      <c r="P144" s="232"/>
      <c r="Q144" s="142"/>
    </row>
    <row r="145" spans="2:17" ht="12.75">
      <c r="B145" s="163" t="s">
        <v>225</v>
      </c>
      <c r="C145" s="142"/>
      <c r="D145" s="156">
        <v>-166</v>
      </c>
      <c r="E145" s="156">
        <f>I145-D145</f>
        <v>-167</v>
      </c>
      <c r="F145" s="156">
        <v>-166</v>
      </c>
      <c r="G145" s="157">
        <f t="shared" si="5"/>
        <v>-167</v>
      </c>
      <c r="H145" s="156"/>
      <c r="I145" s="156">
        <v>-333</v>
      </c>
      <c r="J145" s="157">
        <v>-333</v>
      </c>
      <c r="K145" s="148"/>
      <c r="L145" s="158"/>
      <c r="M145" s="232"/>
      <c r="N145" s="158"/>
      <c r="O145" s="158"/>
      <c r="P145" s="232"/>
      <c r="Q145" s="142"/>
    </row>
    <row r="146" spans="2:17" ht="12.75">
      <c r="B146" s="163" t="s">
        <v>36</v>
      </c>
      <c r="C146" s="142"/>
      <c r="D146" s="156">
        <v>-314</v>
      </c>
      <c r="E146" s="156">
        <f>I146-D146</f>
        <v>-331</v>
      </c>
      <c r="F146" s="156">
        <v>-321</v>
      </c>
      <c r="G146" s="157">
        <f t="shared" si="5"/>
        <v>-313</v>
      </c>
      <c r="H146" s="156"/>
      <c r="I146" s="156">
        <v>-645</v>
      </c>
      <c r="J146" s="157">
        <v>-634</v>
      </c>
      <c r="K146" s="148"/>
      <c r="L146" s="158"/>
      <c r="M146" s="232"/>
      <c r="N146" s="158"/>
      <c r="O146" s="158"/>
      <c r="P146" s="232"/>
      <c r="Q146" s="142"/>
    </row>
    <row r="147" spans="2:17" ht="12.75">
      <c r="B147" s="155" t="s">
        <v>32</v>
      </c>
      <c r="C147" s="178"/>
      <c r="D147" s="176">
        <v>0</v>
      </c>
      <c r="E147" s="164">
        <f>I147-D147</f>
        <v>0</v>
      </c>
      <c r="F147" s="176">
        <v>0</v>
      </c>
      <c r="G147" s="177">
        <v>0</v>
      </c>
      <c r="H147" s="164"/>
      <c r="I147" s="176">
        <v>0</v>
      </c>
      <c r="J147" s="177">
        <v>0</v>
      </c>
      <c r="K147" s="148"/>
      <c r="L147" s="158"/>
      <c r="M147" s="232"/>
      <c r="N147" s="158"/>
      <c r="O147" s="158"/>
      <c r="P147" s="232"/>
      <c r="Q147" s="142"/>
    </row>
    <row r="148" spans="1:19" s="4" customFormat="1" ht="13.5" thickBot="1">
      <c r="A148" s="144"/>
      <c r="B148" s="161" t="s">
        <v>33</v>
      </c>
      <c r="C148" s="144"/>
      <c r="D148" s="166">
        <f>D142+D144+D145+D146+D147</f>
        <v>243</v>
      </c>
      <c r="E148" s="166">
        <f>E142+E144+E145+E146+E147</f>
        <v>188</v>
      </c>
      <c r="F148" s="166">
        <f>F142+F144+F145+F146+F147</f>
        <v>134</v>
      </c>
      <c r="G148" s="167">
        <f t="shared" si="5"/>
        <v>101</v>
      </c>
      <c r="H148" s="157"/>
      <c r="I148" s="166">
        <f>I142+I144+I145+I146+I147</f>
        <v>431</v>
      </c>
      <c r="J148" s="167">
        <v>235</v>
      </c>
      <c r="K148" s="153"/>
      <c r="L148" s="158">
        <v>-44.9</v>
      </c>
      <c r="M148" s="232">
        <v>-50</v>
      </c>
      <c r="N148" s="158"/>
      <c r="O148" s="158">
        <v>-15.7</v>
      </c>
      <c r="P148" s="232">
        <v>-47.1</v>
      </c>
      <c r="Q148" s="144"/>
      <c r="R148" s="144"/>
      <c r="S148" s="144"/>
    </row>
    <row r="149" spans="2:17" ht="13.5" thickTop="1">
      <c r="B149" s="142"/>
      <c r="C149" s="142"/>
      <c r="D149" s="156"/>
      <c r="E149" s="156"/>
      <c r="F149" s="156"/>
      <c r="G149" s="157"/>
      <c r="H149" s="156"/>
      <c r="I149" s="156"/>
      <c r="J149" s="157"/>
      <c r="K149" s="148"/>
      <c r="L149" s="158"/>
      <c r="M149" s="232"/>
      <c r="N149" s="158"/>
      <c r="O149" s="158"/>
      <c r="P149" s="232"/>
      <c r="Q149" s="142"/>
    </row>
    <row r="150" spans="2:17" ht="12.75">
      <c r="B150" s="161" t="s">
        <v>38</v>
      </c>
      <c r="C150" s="142"/>
      <c r="D150" s="154">
        <f>D142/D138</f>
        <v>0.2701509017298491</v>
      </c>
      <c r="E150" s="154">
        <f>E142/E138</f>
        <v>0.2574806058367196</v>
      </c>
      <c r="F150" s="154">
        <f>F142/F138</f>
        <v>0.23212969786293294</v>
      </c>
      <c r="G150" s="168">
        <f>G142/G138</f>
        <v>0.21994025392083644</v>
      </c>
      <c r="H150" s="154"/>
      <c r="I150" s="154">
        <f>I142/I138</f>
        <v>0.26382743362831856</v>
      </c>
      <c r="J150" s="168">
        <f>J142/J138</f>
        <v>0.22607566765578635</v>
      </c>
      <c r="K150" s="148"/>
      <c r="L150" s="158"/>
      <c r="M150" s="232"/>
      <c r="N150" s="158"/>
      <c r="O150" s="158"/>
      <c r="P150" s="232"/>
      <c r="Q150" s="142"/>
    </row>
    <row r="151" spans="2:17" ht="12.75">
      <c r="B151" s="163" t="s">
        <v>81</v>
      </c>
      <c r="C151" s="142"/>
      <c r="D151" s="156">
        <v>216</v>
      </c>
      <c r="E151" s="156">
        <f>I151-D151</f>
        <v>249</v>
      </c>
      <c r="F151" s="156">
        <v>164</v>
      </c>
      <c r="G151" s="157">
        <f>J151-F151</f>
        <v>282</v>
      </c>
      <c r="H151" s="156"/>
      <c r="I151" s="156">
        <v>465</v>
      </c>
      <c r="J151" s="157">
        <v>446</v>
      </c>
      <c r="K151" s="148"/>
      <c r="L151" s="158"/>
      <c r="M151" s="232"/>
      <c r="N151" s="158"/>
      <c r="O151" s="158"/>
      <c r="P151" s="232"/>
      <c r="Q151" s="142"/>
    </row>
    <row r="152" spans="2:17" ht="12.75">
      <c r="B152" s="163"/>
      <c r="C152" s="142"/>
      <c r="D152" s="154"/>
      <c r="E152" s="154"/>
      <c r="F152" s="154"/>
      <c r="G152" s="168"/>
      <c r="H152" s="154"/>
      <c r="I152" s="154"/>
      <c r="J152" s="168"/>
      <c r="K152" s="148"/>
      <c r="L152" s="158"/>
      <c r="M152" s="232"/>
      <c r="N152" s="158"/>
      <c r="O152" s="158"/>
      <c r="P152" s="232"/>
      <c r="Q152" s="142"/>
    </row>
    <row r="153" spans="2:17" ht="12.75">
      <c r="B153" s="163"/>
      <c r="C153" s="142"/>
      <c r="D153" s="154"/>
      <c r="E153" s="154"/>
      <c r="F153" s="154"/>
      <c r="G153" s="168"/>
      <c r="H153" s="154"/>
      <c r="I153" s="154"/>
      <c r="J153" s="168"/>
      <c r="K153" s="148"/>
      <c r="L153" s="158"/>
      <c r="M153" s="232"/>
      <c r="N153" s="158"/>
      <c r="O153" s="158"/>
      <c r="P153" s="232"/>
      <c r="Q153" s="142"/>
    </row>
    <row r="154" spans="1:17" ht="12.75">
      <c r="A154" s="144" t="s">
        <v>71</v>
      </c>
      <c r="B154" s="142"/>
      <c r="C154" s="142"/>
      <c r="D154" s="154"/>
      <c r="E154" s="154"/>
      <c r="F154" s="154"/>
      <c r="G154" s="168"/>
      <c r="H154" s="154"/>
      <c r="I154" s="154"/>
      <c r="J154" s="168"/>
      <c r="K154" s="148"/>
      <c r="L154" s="158"/>
      <c r="M154" s="232"/>
      <c r="N154" s="158"/>
      <c r="O154" s="158"/>
      <c r="P154" s="232"/>
      <c r="Q154" s="142"/>
    </row>
    <row r="155" spans="2:17" ht="12.75">
      <c r="B155" s="155" t="s">
        <v>104</v>
      </c>
      <c r="C155" s="142"/>
      <c r="D155" s="156">
        <v>1591</v>
      </c>
      <c r="E155" s="156">
        <f>I155-D155</f>
        <v>1649</v>
      </c>
      <c r="F155" s="156">
        <v>1814</v>
      </c>
      <c r="G155" s="157">
        <f>J155-F155</f>
        <v>1817</v>
      </c>
      <c r="H155" s="156"/>
      <c r="I155" s="156">
        <v>3240</v>
      </c>
      <c r="J155" s="157">
        <v>3631</v>
      </c>
      <c r="K155" s="156"/>
      <c r="L155" s="158"/>
      <c r="M155" s="232"/>
      <c r="N155" s="158"/>
      <c r="O155" s="158"/>
      <c r="P155" s="232"/>
      <c r="Q155" s="142"/>
    </row>
    <row r="156" spans="2:17" ht="12.75">
      <c r="B156" s="155" t="s">
        <v>23</v>
      </c>
      <c r="C156" s="142"/>
      <c r="D156" s="156">
        <v>248</v>
      </c>
      <c r="E156" s="156">
        <f>I156-D156</f>
        <v>271</v>
      </c>
      <c r="F156" s="156">
        <v>298</v>
      </c>
      <c r="G156" s="157">
        <f aca="true" t="shared" si="6" ref="G156:G172">J156-F156</f>
        <v>325</v>
      </c>
      <c r="H156" s="156"/>
      <c r="I156" s="156">
        <v>519</v>
      </c>
      <c r="J156" s="157">
        <v>623</v>
      </c>
      <c r="K156" s="156"/>
      <c r="L156" s="158"/>
      <c r="M156" s="232"/>
      <c r="N156" s="158"/>
      <c r="O156" s="158"/>
      <c r="P156" s="232"/>
      <c r="Q156" s="142"/>
    </row>
    <row r="157" spans="2:17" ht="12.75">
      <c r="B157" s="155" t="s">
        <v>21</v>
      </c>
      <c r="C157" s="142"/>
      <c r="D157" s="156">
        <v>120</v>
      </c>
      <c r="E157" s="156">
        <f>I157-D157</f>
        <v>147</v>
      </c>
      <c r="F157" s="156">
        <v>186</v>
      </c>
      <c r="G157" s="157">
        <f t="shared" si="6"/>
        <v>219</v>
      </c>
      <c r="H157" s="156"/>
      <c r="I157" s="156">
        <v>267</v>
      </c>
      <c r="J157" s="157">
        <v>405</v>
      </c>
      <c r="K157" s="156"/>
      <c r="L157" s="158"/>
      <c r="M157" s="232"/>
      <c r="N157" s="158"/>
      <c r="O157" s="158"/>
      <c r="P157" s="232"/>
      <c r="Q157" s="142"/>
    </row>
    <row r="158" spans="2:17" ht="12.75">
      <c r="B158" s="155" t="s">
        <v>105</v>
      </c>
      <c r="C158" s="142"/>
      <c r="D158" s="156">
        <v>16</v>
      </c>
      <c r="E158" s="156">
        <f>I158-D158</f>
        <v>33</v>
      </c>
      <c r="F158" s="156">
        <v>45</v>
      </c>
      <c r="G158" s="157">
        <f t="shared" si="6"/>
        <v>60</v>
      </c>
      <c r="H158" s="156"/>
      <c r="I158" s="156">
        <v>49</v>
      </c>
      <c r="J158" s="157">
        <v>105</v>
      </c>
      <c r="K158" s="156"/>
      <c r="L158" s="158"/>
      <c r="M158" s="232"/>
      <c r="N158" s="158"/>
      <c r="O158" s="158"/>
      <c r="P158" s="232"/>
      <c r="Q158" s="142"/>
    </row>
    <row r="159" spans="2:17" ht="12.75">
      <c r="B159" s="155" t="s">
        <v>24</v>
      </c>
      <c r="C159" s="142"/>
      <c r="D159" s="159">
        <v>129</v>
      </c>
      <c r="E159" s="159">
        <f>I159-D159</f>
        <v>91</v>
      </c>
      <c r="F159" s="159">
        <v>148</v>
      </c>
      <c r="G159" s="160">
        <f t="shared" si="6"/>
        <v>117</v>
      </c>
      <c r="H159" s="164"/>
      <c r="I159" s="159">
        <v>220</v>
      </c>
      <c r="J159" s="160">
        <v>265</v>
      </c>
      <c r="K159" s="156"/>
      <c r="L159" s="158"/>
      <c r="M159" s="232"/>
      <c r="N159" s="158"/>
      <c r="O159" s="158"/>
      <c r="P159" s="232"/>
      <c r="Q159" s="142"/>
    </row>
    <row r="160" spans="1:17" ht="12.75">
      <c r="A160" s="144"/>
      <c r="B160" s="161" t="s">
        <v>84</v>
      </c>
      <c r="C160" s="142"/>
      <c r="D160" s="156">
        <f>SUM(D155:D159)</f>
        <v>2104</v>
      </c>
      <c r="E160" s="156">
        <f>SUM(E155:E159)</f>
        <v>2191</v>
      </c>
      <c r="F160" s="156">
        <f>SUM(F155:F159)</f>
        <v>2491</v>
      </c>
      <c r="G160" s="157">
        <f t="shared" si="6"/>
        <v>2538</v>
      </c>
      <c r="H160" s="156"/>
      <c r="I160" s="156">
        <f>SUM(I155:I159)</f>
        <v>4295</v>
      </c>
      <c r="J160" s="157">
        <v>5029</v>
      </c>
      <c r="K160" s="156"/>
      <c r="L160" s="158">
        <v>0.8</v>
      </c>
      <c r="M160" s="232">
        <v>-3</v>
      </c>
      <c r="N160" s="158"/>
      <c r="O160" s="158">
        <v>2.4</v>
      </c>
      <c r="P160" s="232">
        <v>-1.2</v>
      </c>
      <c r="Q160" s="142"/>
    </row>
    <row r="161" spans="2:17" ht="12.75">
      <c r="B161" s="155" t="s">
        <v>162</v>
      </c>
      <c r="C161" s="142"/>
      <c r="D161" s="159">
        <v>139</v>
      </c>
      <c r="E161" s="159">
        <f>I161-D161</f>
        <v>149</v>
      </c>
      <c r="F161" s="159">
        <v>145</v>
      </c>
      <c r="G161" s="160">
        <f t="shared" si="6"/>
        <v>155</v>
      </c>
      <c r="H161" s="156"/>
      <c r="I161" s="159">
        <v>288</v>
      </c>
      <c r="J161" s="160">
        <v>300</v>
      </c>
      <c r="K161" s="156"/>
      <c r="L161" s="158"/>
      <c r="M161" s="232"/>
      <c r="N161" s="158"/>
      <c r="O161" s="158"/>
      <c r="P161" s="232"/>
      <c r="Q161" s="142"/>
    </row>
    <row r="162" spans="1:17" ht="12.75">
      <c r="A162" s="144"/>
      <c r="B162" s="161" t="s">
        <v>65</v>
      </c>
      <c r="C162" s="142"/>
      <c r="D162" s="156">
        <f>SUM(D160:D161)</f>
        <v>2243</v>
      </c>
      <c r="E162" s="156">
        <f>SUM(E160:E161)</f>
        <v>2340</v>
      </c>
      <c r="F162" s="156">
        <f>SUM(F160:F161)</f>
        <v>2636</v>
      </c>
      <c r="G162" s="157">
        <f t="shared" si="6"/>
        <v>2693</v>
      </c>
      <c r="H162" s="156"/>
      <c r="I162" s="156">
        <f>SUM(I160:I161)</f>
        <v>4583</v>
      </c>
      <c r="J162" s="157">
        <v>5329</v>
      </c>
      <c r="K162" s="156"/>
      <c r="L162" s="164">
        <v>0</v>
      </c>
      <c r="M162" s="232">
        <v>-3.6</v>
      </c>
      <c r="N162" s="158"/>
      <c r="O162" s="158">
        <v>2.7</v>
      </c>
      <c r="P162" s="232">
        <v>-1.9</v>
      </c>
      <c r="Q162" s="142"/>
    </row>
    <row r="163" spans="2:17" ht="12.75">
      <c r="B163" s="155" t="s">
        <v>166</v>
      </c>
      <c r="C163" s="142"/>
      <c r="D163" s="156">
        <v>-548</v>
      </c>
      <c r="E163" s="156">
        <f>I163-D163</f>
        <v>-554</v>
      </c>
      <c r="F163" s="156">
        <v>-633</v>
      </c>
      <c r="G163" s="157">
        <f t="shared" si="6"/>
        <v>-642</v>
      </c>
      <c r="H163" s="156"/>
      <c r="I163" s="156">
        <v>-1102</v>
      </c>
      <c r="J163" s="157">
        <v>-1275</v>
      </c>
      <c r="K163" s="156"/>
      <c r="L163" s="158"/>
      <c r="M163" s="232"/>
      <c r="N163" s="158"/>
      <c r="O163" s="158"/>
      <c r="P163" s="232"/>
      <c r="Q163" s="142"/>
    </row>
    <row r="164" spans="2:17" ht="12.75">
      <c r="B164" s="155" t="s">
        <v>167</v>
      </c>
      <c r="C164" s="142"/>
      <c r="D164" s="156">
        <v>-535</v>
      </c>
      <c r="E164" s="156">
        <f>I164-D164</f>
        <v>-626</v>
      </c>
      <c r="F164" s="156">
        <v>-666</v>
      </c>
      <c r="G164" s="157">
        <f t="shared" si="6"/>
        <v>-708</v>
      </c>
      <c r="H164" s="156"/>
      <c r="I164" s="156">
        <v>-1161</v>
      </c>
      <c r="J164" s="157">
        <v>-1374</v>
      </c>
      <c r="K164" s="156"/>
      <c r="L164" s="158"/>
      <c r="M164" s="232"/>
      <c r="N164" s="158"/>
      <c r="O164" s="158"/>
      <c r="P164" s="232"/>
      <c r="Q164" s="142"/>
    </row>
    <row r="165" spans="2:17" ht="12.75">
      <c r="B165" s="155" t="s">
        <v>28</v>
      </c>
      <c r="C165" s="142"/>
      <c r="D165" s="159">
        <v>-333</v>
      </c>
      <c r="E165" s="159">
        <f>I165-D165</f>
        <v>-359</v>
      </c>
      <c r="F165" s="159">
        <v>-405</v>
      </c>
      <c r="G165" s="160">
        <f t="shared" si="6"/>
        <v>-451</v>
      </c>
      <c r="H165" s="156"/>
      <c r="I165" s="159">
        <v>-692</v>
      </c>
      <c r="J165" s="160">
        <v>-856</v>
      </c>
      <c r="K165" s="156"/>
      <c r="L165" s="158"/>
      <c r="M165" s="232"/>
      <c r="N165" s="158"/>
      <c r="O165" s="158"/>
      <c r="P165" s="232"/>
      <c r="Q165" s="142"/>
    </row>
    <row r="166" spans="1:17" ht="12.75">
      <c r="A166" s="144"/>
      <c r="B166" s="161" t="s">
        <v>22</v>
      </c>
      <c r="C166" s="142"/>
      <c r="D166" s="156">
        <f>SUM(D162:D165)</f>
        <v>827</v>
      </c>
      <c r="E166" s="156">
        <f>SUM(E162:E165)</f>
        <v>801</v>
      </c>
      <c r="F166" s="156">
        <f>SUM(F162:F165)</f>
        <v>932</v>
      </c>
      <c r="G166" s="157">
        <f t="shared" si="6"/>
        <v>892</v>
      </c>
      <c r="H166" s="156"/>
      <c r="I166" s="156">
        <f>SUM(I162:I165)</f>
        <v>1628</v>
      </c>
      <c r="J166" s="157">
        <v>1824</v>
      </c>
      <c r="K166" s="156"/>
      <c r="L166" s="158">
        <v>-3.4</v>
      </c>
      <c r="M166" s="232">
        <v>-6.3</v>
      </c>
      <c r="N166" s="158"/>
      <c r="O166" s="158">
        <v>2.9</v>
      </c>
      <c r="P166" s="232">
        <v>-4.9</v>
      </c>
      <c r="Q166" s="142"/>
    </row>
    <row r="167" spans="1:17" ht="12.75">
      <c r="A167" s="144"/>
      <c r="B167" s="155" t="s">
        <v>180</v>
      </c>
      <c r="C167" s="142"/>
      <c r="D167" s="156"/>
      <c r="E167" s="156"/>
      <c r="F167" s="156"/>
      <c r="G167" s="157"/>
      <c r="H167" s="156"/>
      <c r="I167" s="156"/>
      <c r="J167" s="157"/>
      <c r="K167" s="156"/>
      <c r="L167" s="158"/>
      <c r="M167" s="232"/>
      <c r="N167" s="158"/>
      <c r="O167" s="158"/>
      <c r="P167" s="232"/>
      <c r="Q167" s="142"/>
    </row>
    <row r="168" spans="2:17" ht="12.75">
      <c r="B168" s="163" t="s">
        <v>181</v>
      </c>
      <c r="C168" s="142"/>
      <c r="D168" s="156">
        <v>-4</v>
      </c>
      <c r="E168" s="156">
        <f>I168-D168</f>
        <v>-7</v>
      </c>
      <c r="F168" s="156">
        <v>-5</v>
      </c>
      <c r="G168" s="157">
        <f t="shared" si="6"/>
        <v>-3</v>
      </c>
      <c r="H168" s="156"/>
      <c r="I168" s="156">
        <v>-11</v>
      </c>
      <c r="J168" s="157">
        <v>-8</v>
      </c>
      <c r="K168" s="156"/>
      <c r="L168" s="158"/>
      <c r="M168" s="232"/>
      <c r="N168" s="158"/>
      <c r="O168" s="158"/>
      <c r="P168" s="232"/>
      <c r="Q168" s="142"/>
    </row>
    <row r="169" spans="2:17" ht="12.75">
      <c r="B169" s="163" t="s">
        <v>225</v>
      </c>
      <c r="C169" s="142"/>
      <c r="D169" s="156">
        <v>-35</v>
      </c>
      <c r="E169" s="156">
        <f>I169-D169</f>
        <v>-38</v>
      </c>
      <c r="F169" s="156">
        <v>-41</v>
      </c>
      <c r="G169" s="157">
        <f t="shared" si="6"/>
        <v>-45</v>
      </c>
      <c r="H169" s="156"/>
      <c r="I169" s="156">
        <v>-73</v>
      </c>
      <c r="J169" s="157">
        <v>-86</v>
      </c>
      <c r="K169" s="156"/>
      <c r="L169" s="158"/>
      <c r="M169" s="232"/>
      <c r="N169" s="158"/>
      <c r="O169" s="158"/>
      <c r="P169" s="232"/>
      <c r="Q169" s="142"/>
    </row>
    <row r="170" spans="2:17" ht="12.75">
      <c r="B170" s="163" t="s">
        <v>36</v>
      </c>
      <c r="C170" s="142"/>
      <c r="D170" s="156">
        <v>-250</v>
      </c>
      <c r="E170" s="156">
        <f>I170-D170</f>
        <v>-289</v>
      </c>
      <c r="F170" s="156">
        <v>-302</v>
      </c>
      <c r="G170" s="157">
        <f t="shared" si="6"/>
        <v>-337</v>
      </c>
      <c r="H170" s="156"/>
      <c r="I170" s="156">
        <v>-539</v>
      </c>
      <c r="J170" s="157">
        <v>-639</v>
      </c>
      <c r="K170" s="156"/>
      <c r="L170" s="158"/>
      <c r="M170" s="232"/>
      <c r="N170" s="158"/>
      <c r="O170" s="158"/>
      <c r="P170" s="232"/>
      <c r="Q170" s="142"/>
    </row>
    <row r="171" spans="2:17" ht="12.75">
      <c r="B171" s="155" t="s">
        <v>32</v>
      </c>
      <c r="C171" s="142"/>
      <c r="D171" s="156">
        <v>261</v>
      </c>
      <c r="E171" s="156">
        <f>I171-D171</f>
        <v>164</v>
      </c>
      <c r="F171" s="156">
        <v>296</v>
      </c>
      <c r="G171" s="157">
        <f t="shared" si="6"/>
        <v>224</v>
      </c>
      <c r="H171" s="156"/>
      <c r="I171" s="156">
        <v>425</v>
      </c>
      <c r="J171" s="157">
        <v>520</v>
      </c>
      <c r="K171" s="156"/>
      <c r="L171" s="158"/>
      <c r="M171" s="232"/>
      <c r="N171" s="158"/>
      <c r="O171" s="158"/>
      <c r="P171" s="232"/>
      <c r="Q171" s="142"/>
    </row>
    <row r="172" spans="1:17" ht="13.5" thickBot="1">
      <c r="A172" s="144"/>
      <c r="B172" s="161" t="s">
        <v>33</v>
      </c>
      <c r="C172" s="142"/>
      <c r="D172" s="166">
        <f>SUM(D166:D171)</f>
        <v>799</v>
      </c>
      <c r="E172" s="166">
        <f>SUM(E166:E171)</f>
        <v>631</v>
      </c>
      <c r="F172" s="166">
        <f>SUM(F166:F171)</f>
        <v>880</v>
      </c>
      <c r="G172" s="167">
        <f t="shared" si="6"/>
        <v>731</v>
      </c>
      <c r="H172" s="156"/>
      <c r="I172" s="166">
        <f>SUM(I166:I171)</f>
        <v>1430</v>
      </c>
      <c r="J172" s="167">
        <v>1611</v>
      </c>
      <c r="K172" s="156"/>
      <c r="L172" s="158">
        <v>-7.5</v>
      </c>
      <c r="M172" s="232">
        <v>-2.4</v>
      </c>
      <c r="N172" s="158"/>
      <c r="O172" s="158">
        <v>-4.2</v>
      </c>
      <c r="P172" s="232">
        <v>-5.3</v>
      </c>
      <c r="Q172" s="142"/>
    </row>
    <row r="173" spans="2:17" ht="13.5" thickTop="1">
      <c r="B173" s="142"/>
      <c r="C173" s="142"/>
      <c r="D173" s="154"/>
      <c r="E173" s="154"/>
      <c r="F173" s="154"/>
      <c r="G173" s="168"/>
      <c r="H173" s="154"/>
      <c r="I173" s="154"/>
      <c r="J173" s="168"/>
      <c r="K173" s="148"/>
      <c r="L173" s="158"/>
      <c r="M173" s="232"/>
      <c r="N173" s="158"/>
      <c r="O173" s="158"/>
      <c r="P173" s="232"/>
      <c r="Q173" s="142"/>
    </row>
    <row r="174" spans="2:17" ht="12.75">
      <c r="B174" s="161" t="s">
        <v>38</v>
      </c>
      <c r="C174" s="142"/>
      <c r="D174" s="154">
        <f>D166/D162</f>
        <v>0.36870263040570667</v>
      </c>
      <c r="E174" s="154">
        <f>E166/E162</f>
        <v>0.3423076923076923</v>
      </c>
      <c r="F174" s="154">
        <f>F166/F162</f>
        <v>0.3535660091047041</v>
      </c>
      <c r="G174" s="168">
        <f>G166/G162</f>
        <v>0.331229112513925</v>
      </c>
      <c r="H174" s="154"/>
      <c r="I174" s="154">
        <f>I166/I162</f>
        <v>0.3552258346061532</v>
      </c>
      <c r="J174" s="168">
        <f>J166/J162</f>
        <v>0.3422781009570276</v>
      </c>
      <c r="K174" s="148"/>
      <c r="L174" s="158"/>
      <c r="M174" s="232"/>
      <c r="N174" s="158"/>
      <c r="O174" s="158"/>
      <c r="P174" s="232"/>
      <c r="Q174" s="142"/>
    </row>
    <row r="175" spans="2:17" ht="12.75">
      <c r="B175" s="163" t="s">
        <v>81</v>
      </c>
      <c r="C175" s="142"/>
      <c r="D175" s="175">
        <v>179</v>
      </c>
      <c r="E175" s="156">
        <f>I175-D175</f>
        <v>290</v>
      </c>
      <c r="F175" s="175">
        <v>212</v>
      </c>
      <c r="G175" s="169">
        <f>J175-F175</f>
        <v>299</v>
      </c>
      <c r="H175" s="175"/>
      <c r="I175" s="175">
        <v>469</v>
      </c>
      <c r="J175" s="169">
        <v>511</v>
      </c>
      <c r="K175" s="148"/>
      <c r="L175" s="175"/>
      <c r="M175" s="248"/>
      <c r="N175" s="175"/>
      <c r="O175" s="175"/>
      <c r="P175" s="248"/>
      <c r="Q175" s="142"/>
    </row>
    <row r="176" spans="2:17" ht="12.75">
      <c r="B176" s="142"/>
      <c r="C176" s="142"/>
      <c r="D176" s="156"/>
      <c r="E176" s="156"/>
      <c r="F176" s="156"/>
      <c r="G176" s="157"/>
      <c r="H176" s="156"/>
      <c r="I176" s="156"/>
      <c r="J176" s="157"/>
      <c r="K176" s="148"/>
      <c r="L176" s="158"/>
      <c r="M176" s="232"/>
      <c r="N176" s="158"/>
      <c r="O176" s="158"/>
      <c r="P176" s="232"/>
      <c r="Q176" s="142"/>
    </row>
    <row r="177" spans="1:17" ht="12.75">
      <c r="A177" s="144" t="s">
        <v>214</v>
      </c>
      <c r="B177" s="142"/>
      <c r="C177" s="142"/>
      <c r="D177" s="21"/>
      <c r="E177" s="21"/>
      <c r="F177" s="21"/>
      <c r="G177" s="206"/>
      <c r="H177" s="21"/>
      <c r="I177" s="21"/>
      <c r="J177" s="206"/>
      <c r="K177" s="35"/>
      <c r="L177" s="213"/>
      <c r="M177" s="232"/>
      <c r="N177" s="213"/>
      <c r="O177" s="213"/>
      <c r="P177" s="232"/>
      <c r="Q177" s="142"/>
    </row>
    <row r="178" spans="2:17" ht="12.75">
      <c r="B178" s="155" t="s">
        <v>104</v>
      </c>
      <c r="C178" s="142"/>
      <c r="D178" s="21">
        <v>1865</v>
      </c>
      <c r="E178" s="21">
        <f>I178-D178</f>
        <v>2007</v>
      </c>
      <c r="F178" s="21">
        <v>2121</v>
      </c>
      <c r="G178" s="206">
        <f>J178-F178</f>
        <v>2020</v>
      </c>
      <c r="H178" s="21"/>
      <c r="I178" s="21">
        <v>3872</v>
      </c>
      <c r="J178" s="206">
        <v>4141</v>
      </c>
      <c r="K178" s="35"/>
      <c r="L178" s="213"/>
      <c r="M178" s="232"/>
      <c r="N178" s="213"/>
      <c r="O178" s="213"/>
      <c r="P178" s="232"/>
      <c r="Q178" s="142"/>
    </row>
    <row r="179" spans="2:17" ht="12.75">
      <c r="B179" s="155" t="s">
        <v>23</v>
      </c>
      <c r="C179" s="142"/>
      <c r="D179" s="21">
        <v>194</v>
      </c>
      <c r="E179" s="21">
        <f>I179-D179</f>
        <v>227</v>
      </c>
      <c r="F179" s="21">
        <v>229</v>
      </c>
      <c r="G179" s="206">
        <f aca="true" t="shared" si="7" ref="G179:G199">J179-F179</f>
        <v>231</v>
      </c>
      <c r="H179" s="21"/>
      <c r="I179" s="21">
        <v>421</v>
      </c>
      <c r="J179" s="206">
        <v>460</v>
      </c>
      <c r="K179" s="35"/>
      <c r="L179" s="213"/>
      <c r="M179" s="232"/>
      <c r="N179" s="213"/>
      <c r="O179" s="213"/>
      <c r="P179" s="232"/>
      <c r="Q179" s="142"/>
    </row>
    <row r="180" spans="2:17" ht="12.75">
      <c r="B180" s="155" t="s">
        <v>21</v>
      </c>
      <c r="C180" s="142"/>
      <c r="D180" s="21">
        <v>73</v>
      </c>
      <c r="E180" s="21">
        <f>I180-D180</f>
        <v>95</v>
      </c>
      <c r="F180" s="21">
        <v>115</v>
      </c>
      <c r="G180" s="206">
        <f t="shared" si="7"/>
        <v>136</v>
      </c>
      <c r="H180" s="21"/>
      <c r="I180" s="21">
        <v>168</v>
      </c>
      <c r="J180" s="206">
        <v>251</v>
      </c>
      <c r="K180" s="35"/>
      <c r="L180" s="213"/>
      <c r="M180" s="232"/>
      <c r="N180" s="213"/>
      <c r="O180" s="213"/>
      <c r="P180" s="232"/>
      <c r="Q180" s="142"/>
    </row>
    <row r="181" spans="2:17" ht="12.75">
      <c r="B181" s="155" t="s">
        <v>105</v>
      </c>
      <c r="C181" s="142"/>
      <c r="D181" s="21">
        <v>8</v>
      </c>
      <c r="E181" s="21">
        <f>I181-D181</f>
        <v>8</v>
      </c>
      <c r="F181" s="21">
        <v>15</v>
      </c>
      <c r="G181" s="206">
        <f t="shared" si="7"/>
        <v>73</v>
      </c>
      <c r="H181" s="21"/>
      <c r="I181" s="21">
        <v>16</v>
      </c>
      <c r="J181" s="206">
        <v>88</v>
      </c>
      <c r="K181" s="35"/>
      <c r="L181" s="213"/>
      <c r="M181" s="232"/>
      <c r="N181" s="213"/>
      <c r="O181" s="213"/>
      <c r="P181" s="232"/>
      <c r="Q181" s="142"/>
    </row>
    <row r="182" spans="2:17" ht="12.75">
      <c r="B182" s="155" t="s">
        <v>24</v>
      </c>
      <c r="C182" s="142"/>
      <c r="D182" s="25">
        <v>85</v>
      </c>
      <c r="E182" s="25">
        <f>I182-D182</f>
        <v>55</v>
      </c>
      <c r="F182" s="25">
        <v>98</v>
      </c>
      <c r="G182" s="215">
        <f t="shared" si="7"/>
        <v>75</v>
      </c>
      <c r="H182" s="21"/>
      <c r="I182" s="25">
        <v>140</v>
      </c>
      <c r="J182" s="215">
        <v>173</v>
      </c>
      <c r="K182" s="35"/>
      <c r="L182" s="213"/>
      <c r="M182" s="232"/>
      <c r="N182" s="213"/>
      <c r="O182" s="213"/>
      <c r="P182" s="232"/>
      <c r="Q182" s="142"/>
    </row>
    <row r="183" spans="1:19" s="4" customFormat="1" ht="12.75">
      <c r="A183" s="144"/>
      <c r="B183" s="161" t="s">
        <v>84</v>
      </c>
      <c r="C183" s="144"/>
      <c r="D183" s="21">
        <f>SUM(D178:D182)</f>
        <v>2225</v>
      </c>
      <c r="E183" s="21">
        <f>SUM(E178:E182)</f>
        <v>2392</v>
      </c>
      <c r="F183" s="21">
        <f>SUM(F178:F182)</f>
        <v>2578</v>
      </c>
      <c r="G183" s="206">
        <f t="shared" si="7"/>
        <v>2535</v>
      </c>
      <c r="H183" s="206"/>
      <c r="I183" s="21">
        <f>SUM(I178:I182)</f>
        <v>4617</v>
      </c>
      <c r="J183" s="206">
        <v>5113</v>
      </c>
      <c r="K183" s="37"/>
      <c r="L183" s="213">
        <v>6.6</v>
      </c>
      <c r="M183" s="232">
        <v>-0.2</v>
      </c>
      <c r="N183" s="213"/>
      <c r="O183" s="213">
        <v>13.2</v>
      </c>
      <c r="P183" s="232">
        <v>3.1</v>
      </c>
      <c r="Q183" s="144"/>
      <c r="R183" s="144"/>
      <c r="S183" s="144"/>
    </row>
    <row r="184" spans="2:17" ht="12.75">
      <c r="B184" s="155" t="s">
        <v>162</v>
      </c>
      <c r="C184" s="142"/>
      <c r="D184" s="25">
        <v>152</v>
      </c>
      <c r="E184" s="25">
        <f>I184-D184</f>
        <v>177</v>
      </c>
      <c r="F184" s="25">
        <v>173</v>
      </c>
      <c r="G184" s="215">
        <f t="shared" si="7"/>
        <v>215</v>
      </c>
      <c r="H184" s="21"/>
      <c r="I184" s="25">
        <v>329</v>
      </c>
      <c r="J184" s="215">
        <v>388</v>
      </c>
      <c r="K184" s="35"/>
      <c r="L184" s="213"/>
      <c r="M184" s="232"/>
      <c r="N184" s="213"/>
      <c r="O184" s="213"/>
      <c r="P184" s="232"/>
      <c r="Q184" s="142"/>
    </row>
    <row r="185" spans="1:19" s="4" customFormat="1" ht="12.75">
      <c r="A185" s="144"/>
      <c r="B185" s="161" t="s">
        <v>65</v>
      </c>
      <c r="C185" s="144"/>
      <c r="D185" s="21">
        <f>SUM(D183:D184)</f>
        <v>2377</v>
      </c>
      <c r="E185" s="21">
        <f>SUM(E183:E184)</f>
        <v>2569</v>
      </c>
      <c r="F185" s="21">
        <f>SUM(F183:F184)</f>
        <v>2751</v>
      </c>
      <c r="G185" s="206">
        <f t="shared" si="7"/>
        <v>2750</v>
      </c>
      <c r="H185" s="206"/>
      <c r="I185" s="21">
        <f>SUM(I183:I184)</f>
        <v>4946</v>
      </c>
      <c r="J185" s="206">
        <v>5501</v>
      </c>
      <c r="K185" s="37"/>
      <c r="L185" s="213">
        <v>7.1</v>
      </c>
      <c r="M185" s="232">
        <v>0.9</v>
      </c>
      <c r="N185" s="213"/>
      <c r="O185" s="213">
        <v>13.6</v>
      </c>
      <c r="P185" s="232">
        <v>3.9</v>
      </c>
      <c r="Q185" s="144"/>
      <c r="R185" s="144"/>
      <c r="S185" s="144"/>
    </row>
    <row r="186" spans="2:17" ht="12.75">
      <c r="B186" s="155" t="s">
        <v>166</v>
      </c>
      <c r="C186" s="142"/>
      <c r="D186" s="21">
        <v>-656</v>
      </c>
      <c r="E186" s="21">
        <f>I186-D186</f>
        <v>-698</v>
      </c>
      <c r="F186" s="21">
        <v>-764</v>
      </c>
      <c r="G186" s="206">
        <f t="shared" si="7"/>
        <v>-803</v>
      </c>
      <c r="H186" s="21"/>
      <c r="I186" s="21">
        <v>-1354</v>
      </c>
      <c r="J186" s="206">
        <v>-1567</v>
      </c>
      <c r="K186" s="35"/>
      <c r="L186" s="213"/>
      <c r="M186" s="232"/>
      <c r="N186" s="213"/>
      <c r="O186" s="213"/>
      <c r="P186" s="232"/>
      <c r="Q186" s="142"/>
    </row>
    <row r="187" spans="2:17" ht="12.75">
      <c r="B187" s="155" t="s">
        <v>167</v>
      </c>
      <c r="C187" s="142"/>
      <c r="D187" s="21">
        <v>-552</v>
      </c>
      <c r="E187" s="21">
        <f>I187-D187</f>
        <v>-601</v>
      </c>
      <c r="F187" s="21">
        <v>-620</v>
      </c>
      <c r="G187" s="206">
        <f t="shared" si="7"/>
        <v>-637</v>
      </c>
      <c r="H187" s="21"/>
      <c r="I187" s="21">
        <v>-1153</v>
      </c>
      <c r="J187" s="206">
        <v>-1257</v>
      </c>
      <c r="K187" s="35"/>
      <c r="L187" s="213"/>
      <c r="M187" s="232"/>
      <c r="N187" s="213"/>
      <c r="O187" s="213"/>
      <c r="P187" s="232"/>
      <c r="Q187" s="142"/>
    </row>
    <row r="188" spans="2:17" ht="4.5" customHeight="1">
      <c r="B188" s="155"/>
      <c r="C188" s="142"/>
      <c r="D188" s="21"/>
      <c r="E188" s="21"/>
      <c r="F188" s="21"/>
      <c r="G188" s="215">
        <f t="shared" si="7"/>
        <v>0</v>
      </c>
      <c r="H188" s="21"/>
      <c r="I188" s="21"/>
      <c r="J188" s="206"/>
      <c r="K188" s="35"/>
      <c r="L188" s="213"/>
      <c r="M188" s="232"/>
      <c r="N188" s="213"/>
      <c r="O188" s="213"/>
      <c r="P188" s="232"/>
      <c r="Q188" s="142"/>
    </row>
    <row r="189" spans="2:17" ht="12.75">
      <c r="B189" s="170" t="s">
        <v>182</v>
      </c>
      <c r="C189" s="171"/>
      <c r="D189" s="218">
        <v>-381</v>
      </c>
      <c r="E189" s="218">
        <f>I189-D189</f>
        <v>-420</v>
      </c>
      <c r="F189" s="218">
        <v>-412</v>
      </c>
      <c r="G189" s="206">
        <f t="shared" si="7"/>
        <v>-440</v>
      </c>
      <c r="H189" s="218"/>
      <c r="I189" s="218">
        <v>-801</v>
      </c>
      <c r="J189" s="223">
        <v>-852</v>
      </c>
      <c r="K189" s="35"/>
      <c r="L189" s="213"/>
      <c r="M189" s="232"/>
      <c r="N189" s="213"/>
      <c r="O189" s="213"/>
      <c r="P189" s="232"/>
      <c r="Q189" s="142"/>
    </row>
    <row r="190" spans="2:17" ht="12.75">
      <c r="B190" s="173" t="s">
        <v>183</v>
      </c>
      <c r="C190" s="174"/>
      <c r="D190" s="25">
        <v>-171</v>
      </c>
      <c r="E190" s="25">
        <f>I190-D190</f>
        <v>-181</v>
      </c>
      <c r="F190" s="25">
        <v>-208</v>
      </c>
      <c r="G190" s="215">
        <f t="shared" si="7"/>
        <v>-197</v>
      </c>
      <c r="H190" s="25"/>
      <c r="I190" s="25">
        <v>-352</v>
      </c>
      <c r="J190" s="229">
        <v>-405</v>
      </c>
      <c r="K190" s="35"/>
      <c r="L190" s="213"/>
      <c r="M190" s="232"/>
      <c r="N190" s="213"/>
      <c r="O190" s="213"/>
      <c r="P190" s="232"/>
      <c r="Q190" s="142"/>
    </row>
    <row r="191" spans="2:17" ht="4.5" customHeight="1">
      <c r="B191" s="155"/>
      <c r="C191" s="142"/>
      <c r="D191" s="21"/>
      <c r="E191" s="21"/>
      <c r="F191" s="21"/>
      <c r="G191" s="206">
        <f t="shared" si="7"/>
        <v>0</v>
      </c>
      <c r="H191" s="21"/>
      <c r="I191" s="21"/>
      <c r="J191" s="206"/>
      <c r="K191" s="35"/>
      <c r="L191" s="213"/>
      <c r="M191" s="232"/>
      <c r="N191" s="213"/>
      <c r="O191" s="213"/>
      <c r="P191" s="232"/>
      <c r="Q191" s="142"/>
    </row>
    <row r="192" spans="2:17" ht="12.75">
      <c r="B192" s="155" t="s">
        <v>28</v>
      </c>
      <c r="C192" s="142"/>
      <c r="D192" s="25">
        <v>-384</v>
      </c>
      <c r="E192" s="25">
        <f>I192-D192</f>
        <v>-386</v>
      </c>
      <c r="F192" s="25">
        <v>-448</v>
      </c>
      <c r="G192" s="215">
        <f t="shared" si="7"/>
        <v>-539</v>
      </c>
      <c r="H192" s="21"/>
      <c r="I192" s="25">
        <v>-770</v>
      </c>
      <c r="J192" s="215">
        <v>-987</v>
      </c>
      <c r="K192" s="35"/>
      <c r="L192" s="213"/>
      <c r="M192" s="232"/>
      <c r="N192" s="213"/>
      <c r="O192" s="213"/>
      <c r="P192" s="232"/>
      <c r="Q192" s="142"/>
    </row>
    <row r="193" spans="1:19" s="4" customFormat="1" ht="12.75">
      <c r="A193" s="144"/>
      <c r="B193" s="161" t="s">
        <v>22</v>
      </c>
      <c r="C193" s="144"/>
      <c r="D193" s="21">
        <f>SUM(D185:D192)-D189-D190</f>
        <v>785</v>
      </c>
      <c r="E193" s="21">
        <f>SUM(E185:E192)-E189-E190</f>
        <v>884</v>
      </c>
      <c r="F193" s="21">
        <f>SUM(F185:F192)-F190-F189</f>
        <v>919</v>
      </c>
      <c r="G193" s="206">
        <f t="shared" si="7"/>
        <v>771</v>
      </c>
      <c r="H193" s="206"/>
      <c r="I193" s="21">
        <f>SUM(I185:I192)-I189-I190</f>
        <v>1669</v>
      </c>
      <c r="J193" s="206">
        <v>1690</v>
      </c>
      <c r="K193" s="37"/>
      <c r="L193" s="213">
        <v>9.7</v>
      </c>
      <c r="M193" s="232">
        <v>-13.2</v>
      </c>
      <c r="N193" s="213"/>
      <c r="O193" s="213">
        <v>15.6</v>
      </c>
      <c r="P193" s="232">
        <v>-2.4</v>
      </c>
      <c r="Q193" s="144"/>
      <c r="R193" s="144"/>
      <c r="S193" s="144"/>
    </row>
    <row r="194" spans="1:19" s="4" customFormat="1" ht="12.75">
      <c r="A194" s="144"/>
      <c r="B194" s="155" t="s">
        <v>180</v>
      </c>
      <c r="C194" s="144"/>
      <c r="D194" s="21"/>
      <c r="E194" s="21"/>
      <c r="F194" s="21"/>
      <c r="G194" s="164"/>
      <c r="H194" s="206"/>
      <c r="I194" s="21"/>
      <c r="J194" s="206"/>
      <c r="K194" s="37"/>
      <c r="L194" s="213"/>
      <c r="M194" s="232"/>
      <c r="N194" s="213"/>
      <c r="O194" s="213"/>
      <c r="P194" s="232"/>
      <c r="Q194" s="144"/>
      <c r="R194" s="144"/>
      <c r="S194" s="144"/>
    </row>
    <row r="195" spans="2:17" ht="12.75">
      <c r="B195" s="163" t="s">
        <v>181</v>
      </c>
      <c r="C195" s="142"/>
      <c r="D195" s="21">
        <v>-138</v>
      </c>
      <c r="E195" s="21">
        <f>I195-D195</f>
        <v>-156</v>
      </c>
      <c r="F195" s="21">
        <v>-164</v>
      </c>
      <c r="G195" s="206">
        <f t="shared" si="7"/>
        <v>-154</v>
      </c>
      <c r="H195" s="21"/>
      <c r="I195" s="21">
        <v>-294</v>
      </c>
      <c r="J195" s="206">
        <v>-318</v>
      </c>
      <c r="K195" s="35"/>
      <c r="L195" s="213"/>
      <c r="M195" s="232"/>
      <c r="N195" s="213"/>
      <c r="O195" s="213"/>
      <c r="P195" s="232"/>
      <c r="Q195" s="142"/>
    </row>
    <row r="196" spans="2:17" ht="12.75">
      <c r="B196" s="163" t="s">
        <v>225</v>
      </c>
      <c r="C196" s="142"/>
      <c r="D196" s="21">
        <v>-15</v>
      </c>
      <c r="E196" s="21">
        <f>I196-D196</f>
        <v>-7</v>
      </c>
      <c r="F196" s="21">
        <v>-12</v>
      </c>
      <c r="G196" s="206">
        <f t="shared" si="7"/>
        <v>-15</v>
      </c>
      <c r="H196" s="21"/>
      <c r="I196" s="21">
        <v>-22</v>
      </c>
      <c r="J196" s="206">
        <v>-27</v>
      </c>
      <c r="K196" s="35"/>
      <c r="L196" s="213"/>
      <c r="M196" s="232"/>
      <c r="N196" s="213"/>
      <c r="O196" s="213"/>
      <c r="P196" s="232"/>
      <c r="Q196" s="142"/>
    </row>
    <row r="197" spans="2:17" ht="12.75">
      <c r="B197" s="163" t="s">
        <v>36</v>
      </c>
      <c r="C197" s="142"/>
      <c r="D197" s="21">
        <v>-272</v>
      </c>
      <c r="E197" s="21">
        <f>I197-D197</f>
        <v>-329</v>
      </c>
      <c r="F197" s="21">
        <v>-362</v>
      </c>
      <c r="G197" s="206">
        <f t="shared" si="7"/>
        <v>-357</v>
      </c>
      <c r="H197" s="21"/>
      <c r="I197" s="21">
        <v>-601</v>
      </c>
      <c r="J197" s="206">
        <v>-719</v>
      </c>
      <c r="K197" s="35"/>
      <c r="L197" s="213"/>
      <c r="M197" s="232"/>
      <c r="N197" s="213"/>
      <c r="O197" s="213"/>
      <c r="P197" s="232"/>
      <c r="Q197" s="142"/>
    </row>
    <row r="198" spans="2:17" ht="12.75">
      <c r="B198" s="155" t="s">
        <v>32</v>
      </c>
      <c r="C198" s="142"/>
      <c r="D198" s="164">
        <v>0</v>
      </c>
      <c r="E198" s="164">
        <f>I198-D198</f>
        <v>0</v>
      </c>
      <c r="F198" s="25">
        <v>14</v>
      </c>
      <c r="G198" s="206">
        <f t="shared" si="7"/>
        <v>12</v>
      </c>
      <c r="H198" s="21"/>
      <c r="I198" s="164">
        <v>0</v>
      </c>
      <c r="J198" s="165">
        <v>26</v>
      </c>
      <c r="K198" s="35"/>
      <c r="L198" s="213"/>
      <c r="M198" s="232"/>
      <c r="N198" s="213"/>
      <c r="O198" s="213"/>
      <c r="P198" s="232"/>
      <c r="Q198" s="142"/>
    </row>
    <row r="199" spans="1:19" s="4" customFormat="1" ht="13.5" thickBot="1">
      <c r="A199" s="144"/>
      <c r="B199" s="161" t="s">
        <v>33</v>
      </c>
      <c r="C199" s="144"/>
      <c r="D199" s="27">
        <f>D193+D195+D196+D197+D198</f>
        <v>360</v>
      </c>
      <c r="E199" s="27">
        <f>E193+E195+E196+E197+E198</f>
        <v>392</v>
      </c>
      <c r="F199" s="27">
        <f>F193+F195+F196+F197+F198</f>
        <v>395</v>
      </c>
      <c r="G199" s="207">
        <f t="shared" si="7"/>
        <v>257</v>
      </c>
      <c r="H199" s="206"/>
      <c r="I199" s="27">
        <f>I193+I195+I196+I197+I198</f>
        <v>752</v>
      </c>
      <c r="J199" s="207">
        <v>652</v>
      </c>
      <c r="K199" s="37"/>
      <c r="L199" s="213">
        <v>6.1</v>
      </c>
      <c r="M199" s="232">
        <v>-29.6</v>
      </c>
      <c r="N199" s="213"/>
      <c r="O199" s="213">
        <v>18</v>
      </c>
      <c r="P199" s="232">
        <v>-12.9</v>
      </c>
      <c r="Q199" s="144"/>
      <c r="R199" s="144"/>
      <c r="S199" s="144"/>
    </row>
    <row r="200" spans="2:17" ht="13.5" thickTop="1">
      <c r="B200" s="142"/>
      <c r="C200" s="142"/>
      <c r="D200" s="21"/>
      <c r="E200" s="21"/>
      <c r="F200" s="21"/>
      <c r="G200" s="206"/>
      <c r="H200" s="21"/>
      <c r="I200" s="21"/>
      <c r="J200" s="206"/>
      <c r="K200" s="35"/>
      <c r="L200" s="213"/>
      <c r="M200" s="232"/>
      <c r="N200" s="213"/>
      <c r="O200" s="213"/>
      <c r="P200" s="232"/>
      <c r="Q200" s="142"/>
    </row>
    <row r="201" spans="2:17" ht="12.75">
      <c r="B201" s="161" t="s">
        <v>38</v>
      </c>
      <c r="C201" s="142"/>
      <c r="D201" s="38">
        <f>D193/D185</f>
        <v>0.3302482120319731</v>
      </c>
      <c r="E201" s="38">
        <f>E193/E185</f>
        <v>0.34410276372129234</v>
      </c>
      <c r="F201" s="38">
        <f>F193/F185</f>
        <v>0.3340603416939295</v>
      </c>
      <c r="G201" s="42">
        <f>G193/G185</f>
        <v>0.28036363636363637</v>
      </c>
      <c r="H201" s="38"/>
      <c r="I201" s="38">
        <f>I193/I185</f>
        <v>0.3374443995147594</v>
      </c>
      <c r="J201" s="42">
        <v>0.307</v>
      </c>
      <c r="K201" s="35"/>
      <c r="L201" s="213"/>
      <c r="M201" s="232"/>
      <c r="N201" s="213"/>
      <c r="O201" s="213"/>
      <c r="P201" s="232"/>
      <c r="Q201" s="142"/>
    </row>
    <row r="202" spans="2:17" ht="12.75">
      <c r="B202" s="163" t="s">
        <v>81</v>
      </c>
      <c r="C202" s="142"/>
      <c r="D202" s="21">
        <v>323</v>
      </c>
      <c r="E202" s="21">
        <f>I202-D202</f>
        <v>583</v>
      </c>
      <c r="F202" s="21">
        <v>384</v>
      </c>
      <c r="G202" s="206">
        <f>J202-F202</f>
        <v>478</v>
      </c>
      <c r="H202" s="21"/>
      <c r="I202" s="21">
        <v>906</v>
      </c>
      <c r="J202" s="157">
        <v>862</v>
      </c>
      <c r="K202" s="35"/>
      <c r="L202" s="213"/>
      <c r="M202" s="232"/>
      <c r="N202" s="213"/>
      <c r="O202" s="213"/>
      <c r="P202" s="232"/>
      <c r="Q202" s="142"/>
    </row>
    <row r="203" spans="4:16" s="142" customFormat="1" ht="12.75">
      <c r="D203" s="156"/>
      <c r="E203" s="156"/>
      <c r="F203" s="156"/>
      <c r="G203" s="157"/>
      <c r="H203" s="156"/>
      <c r="I203" s="156"/>
      <c r="J203" s="157"/>
      <c r="K203" s="148"/>
      <c r="L203" s="158"/>
      <c r="M203" s="232"/>
      <c r="N203" s="158"/>
      <c r="O203" s="158"/>
      <c r="P203" s="232"/>
    </row>
    <row r="204" spans="1:17" ht="12.75">
      <c r="A204" s="144" t="s">
        <v>190</v>
      </c>
      <c r="B204" s="142"/>
      <c r="C204" s="142"/>
      <c r="D204" s="156"/>
      <c r="E204" s="156"/>
      <c r="F204" s="156"/>
      <c r="G204" s="157"/>
      <c r="H204" s="156"/>
      <c r="I204" s="156"/>
      <c r="J204" s="157"/>
      <c r="K204" s="148"/>
      <c r="L204" s="158"/>
      <c r="M204" s="232"/>
      <c r="N204" s="158"/>
      <c r="O204" s="158"/>
      <c r="P204" s="232"/>
      <c r="Q204" s="142"/>
    </row>
    <row r="205" spans="2:17" ht="12.75">
      <c r="B205" s="155" t="s">
        <v>104</v>
      </c>
      <c r="C205" s="142"/>
      <c r="D205" s="21">
        <v>593</v>
      </c>
      <c r="E205" s="21">
        <f>I205-D205</f>
        <v>627</v>
      </c>
      <c r="F205" s="21">
        <v>623</v>
      </c>
      <c r="G205" s="206">
        <f>J205-F205</f>
        <v>668</v>
      </c>
      <c r="H205" s="21"/>
      <c r="I205" s="21">
        <v>1220</v>
      </c>
      <c r="J205" s="206">
        <v>1291</v>
      </c>
      <c r="K205" s="35"/>
      <c r="L205" s="213"/>
      <c r="M205" s="232"/>
      <c r="N205" s="213"/>
      <c r="O205" s="213"/>
      <c r="P205" s="232"/>
      <c r="Q205" s="142"/>
    </row>
    <row r="206" spans="2:17" ht="12.75">
      <c r="B206" s="155" t="s">
        <v>23</v>
      </c>
      <c r="C206" s="142"/>
      <c r="D206" s="21">
        <v>38</v>
      </c>
      <c r="E206" s="21">
        <f>I206-D206</f>
        <v>48</v>
      </c>
      <c r="F206" s="21">
        <v>44</v>
      </c>
      <c r="G206" s="206">
        <f aca="true" t="shared" si="8" ref="G206:G222">J206-F206</f>
        <v>48</v>
      </c>
      <c r="H206" s="21"/>
      <c r="I206" s="21">
        <v>86</v>
      </c>
      <c r="J206" s="206">
        <v>92</v>
      </c>
      <c r="K206" s="35"/>
      <c r="L206" s="213"/>
      <c r="M206" s="232"/>
      <c r="N206" s="213"/>
      <c r="O206" s="213"/>
      <c r="P206" s="232"/>
      <c r="Q206" s="142"/>
    </row>
    <row r="207" spans="2:17" ht="12.75">
      <c r="B207" s="155" t="s">
        <v>21</v>
      </c>
      <c r="C207" s="142"/>
      <c r="D207" s="21">
        <v>26</v>
      </c>
      <c r="E207" s="21">
        <f>I207-D207</f>
        <v>38</v>
      </c>
      <c r="F207" s="21">
        <v>45</v>
      </c>
      <c r="G207" s="206">
        <f t="shared" si="8"/>
        <v>54</v>
      </c>
      <c r="H207" s="21"/>
      <c r="I207" s="21">
        <v>64</v>
      </c>
      <c r="J207" s="206">
        <v>99</v>
      </c>
      <c r="K207" s="35"/>
      <c r="L207" s="213"/>
      <c r="M207" s="232"/>
      <c r="N207" s="213"/>
      <c r="O207" s="213"/>
      <c r="P207" s="232"/>
      <c r="Q207" s="142"/>
    </row>
    <row r="208" spans="2:17" ht="12.75">
      <c r="B208" s="155" t="s">
        <v>105</v>
      </c>
      <c r="C208" s="142"/>
      <c r="D208" s="164">
        <v>0</v>
      </c>
      <c r="E208" s="164">
        <f>I208-D208</f>
        <v>0</v>
      </c>
      <c r="F208" s="31">
        <v>0</v>
      </c>
      <c r="G208" s="206">
        <f t="shared" si="8"/>
        <v>24</v>
      </c>
      <c r="H208" s="21"/>
      <c r="I208" s="31">
        <v>0</v>
      </c>
      <c r="J208" s="210">
        <v>24</v>
      </c>
      <c r="K208" s="35"/>
      <c r="L208" s="213"/>
      <c r="M208" s="232"/>
      <c r="N208" s="213"/>
      <c r="O208" s="213"/>
      <c r="P208" s="232"/>
      <c r="Q208" s="142"/>
    </row>
    <row r="209" spans="2:17" ht="12.75">
      <c r="B209" s="155" t="s">
        <v>24</v>
      </c>
      <c r="C209" s="142"/>
      <c r="D209" s="214">
        <v>13</v>
      </c>
      <c r="E209" s="25">
        <f>I209-D209</f>
        <v>15</v>
      </c>
      <c r="F209" s="25">
        <v>16</v>
      </c>
      <c r="G209" s="215">
        <f t="shared" si="8"/>
        <v>26</v>
      </c>
      <c r="H209" s="31"/>
      <c r="I209" s="25">
        <v>28</v>
      </c>
      <c r="J209" s="217">
        <v>42</v>
      </c>
      <c r="K209" s="35"/>
      <c r="L209" s="213"/>
      <c r="M209" s="232"/>
      <c r="N209" s="213"/>
      <c r="O209" s="213"/>
      <c r="P209" s="232"/>
      <c r="Q209" s="142"/>
    </row>
    <row r="210" spans="1:19" s="4" customFormat="1" ht="12.75">
      <c r="A210" s="144"/>
      <c r="B210" s="161" t="s">
        <v>84</v>
      </c>
      <c r="C210" s="144"/>
      <c r="D210" s="21">
        <f>SUM(D205:D209)</f>
        <v>670</v>
      </c>
      <c r="E210" s="21">
        <f>SUM(E205:E209)</f>
        <v>728</v>
      </c>
      <c r="F210" s="21">
        <f>SUM(F205:F209)</f>
        <v>728</v>
      </c>
      <c r="G210" s="206">
        <f t="shared" si="8"/>
        <v>820</v>
      </c>
      <c r="H210" s="206"/>
      <c r="I210" s="21">
        <f>SUM(I205:I209)</f>
        <v>1398</v>
      </c>
      <c r="J210" s="206">
        <v>1548</v>
      </c>
      <c r="K210" s="37"/>
      <c r="L210" s="213">
        <v>14.5</v>
      </c>
      <c r="M210" s="232">
        <v>13.1</v>
      </c>
      <c r="N210" s="213"/>
      <c r="O210" s="213">
        <v>16.5</v>
      </c>
      <c r="P210" s="232">
        <v>13.8</v>
      </c>
      <c r="Q210" s="144"/>
      <c r="R210" s="144"/>
      <c r="S210" s="144"/>
    </row>
    <row r="211" spans="2:17" ht="12.75">
      <c r="B211" s="155" t="s">
        <v>162</v>
      </c>
      <c r="C211" s="142"/>
      <c r="D211" s="25">
        <v>98</v>
      </c>
      <c r="E211" s="25">
        <f>I211-D211</f>
        <v>113</v>
      </c>
      <c r="F211" s="25">
        <v>101</v>
      </c>
      <c r="G211" s="215">
        <f t="shared" si="8"/>
        <v>129</v>
      </c>
      <c r="H211" s="21"/>
      <c r="I211" s="25">
        <v>211</v>
      </c>
      <c r="J211" s="215">
        <v>230</v>
      </c>
      <c r="K211" s="35"/>
      <c r="L211" s="213"/>
      <c r="M211" s="232"/>
      <c r="N211" s="213"/>
      <c r="O211" s="213"/>
      <c r="P211" s="232"/>
      <c r="Q211" s="142"/>
    </row>
    <row r="212" spans="1:19" s="4" customFormat="1" ht="12.75">
      <c r="A212" s="144"/>
      <c r="B212" s="161" t="s">
        <v>65</v>
      </c>
      <c r="C212" s="144"/>
      <c r="D212" s="21">
        <f>SUM(D210:D211)</f>
        <v>768</v>
      </c>
      <c r="E212" s="21">
        <f>SUM(E210:E211)</f>
        <v>841</v>
      </c>
      <c r="F212" s="21">
        <v>829</v>
      </c>
      <c r="G212" s="206">
        <f t="shared" si="8"/>
        <v>949</v>
      </c>
      <c r="H212" s="206"/>
      <c r="I212" s="21">
        <f>SUM(I210:I211)</f>
        <v>1609</v>
      </c>
      <c r="J212" s="206">
        <v>1778</v>
      </c>
      <c r="K212" s="37"/>
      <c r="L212" s="213">
        <v>13.9</v>
      </c>
      <c r="M212" s="232">
        <v>13.7</v>
      </c>
      <c r="N212" s="213"/>
      <c r="O212" s="213">
        <v>16.9</v>
      </c>
      <c r="P212" s="232">
        <v>13.8</v>
      </c>
      <c r="Q212" s="144"/>
      <c r="R212" s="144"/>
      <c r="S212" s="144"/>
    </row>
    <row r="213" spans="2:17" ht="12.75">
      <c r="B213" s="155" t="s">
        <v>166</v>
      </c>
      <c r="C213" s="142"/>
      <c r="D213" s="21">
        <v>-172</v>
      </c>
      <c r="E213" s="21">
        <f>I213-D213</f>
        <v>-191</v>
      </c>
      <c r="F213" s="21">
        <v>-190</v>
      </c>
      <c r="G213" s="206">
        <f t="shared" si="8"/>
        <v>-230</v>
      </c>
      <c r="H213" s="21"/>
      <c r="I213" s="21">
        <v>-363</v>
      </c>
      <c r="J213" s="206">
        <v>-420</v>
      </c>
      <c r="K213" s="35"/>
      <c r="L213" s="213"/>
      <c r="M213" s="232"/>
      <c r="N213" s="213"/>
      <c r="O213" s="213"/>
      <c r="P213" s="232"/>
      <c r="Q213" s="142"/>
    </row>
    <row r="214" spans="2:17" ht="12.75">
      <c r="B214" s="155" t="s">
        <v>167</v>
      </c>
      <c r="C214" s="142"/>
      <c r="D214" s="21">
        <v>-197</v>
      </c>
      <c r="E214" s="21">
        <f>I214-D214</f>
        <v>-210</v>
      </c>
      <c r="F214" s="21">
        <v>-204</v>
      </c>
      <c r="G214" s="206">
        <f t="shared" si="8"/>
        <v>-234</v>
      </c>
      <c r="H214" s="21"/>
      <c r="I214" s="21">
        <v>-407</v>
      </c>
      <c r="J214" s="206">
        <v>-438</v>
      </c>
      <c r="K214" s="35"/>
      <c r="L214" s="213"/>
      <c r="M214" s="232"/>
      <c r="N214" s="213"/>
      <c r="O214" s="213"/>
      <c r="P214" s="232"/>
      <c r="Q214" s="142"/>
    </row>
    <row r="215" spans="2:17" ht="12.75">
      <c r="B215" s="155" t="s">
        <v>28</v>
      </c>
      <c r="C215" s="142"/>
      <c r="D215" s="25">
        <v>-130</v>
      </c>
      <c r="E215" s="25">
        <f>I215-D215</f>
        <v>-123</v>
      </c>
      <c r="F215" s="25">
        <v>-146</v>
      </c>
      <c r="G215" s="215">
        <f t="shared" si="8"/>
        <v>-168</v>
      </c>
      <c r="H215" s="21"/>
      <c r="I215" s="25">
        <v>-253</v>
      </c>
      <c r="J215" s="215">
        <v>-314</v>
      </c>
      <c r="K215" s="35"/>
      <c r="L215" s="213"/>
      <c r="M215" s="232"/>
      <c r="N215" s="213"/>
      <c r="O215" s="213"/>
      <c r="P215" s="232"/>
      <c r="Q215" s="142"/>
    </row>
    <row r="216" spans="1:19" s="4" customFormat="1" ht="12.75">
      <c r="A216" s="144"/>
      <c r="B216" s="161" t="s">
        <v>22</v>
      </c>
      <c r="C216" s="144"/>
      <c r="D216" s="21">
        <f>SUM(D212:D215)</f>
        <v>269</v>
      </c>
      <c r="E216" s="21">
        <f>SUM(E212:E215)</f>
        <v>317</v>
      </c>
      <c r="F216" s="21">
        <f>SUM(F212:F215)</f>
        <v>289</v>
      </c>
      <c r="G216" s="206">
        <f t="shared" si="8"/>
        <v>317</v>
      </c>
      <c r="H216" s="206"/>
      <c r="I216" s="21">
        <f>SUM(I212:I215)</f>
        <v>586</v>
      </c>
      <c r="J216" s="206">
        <v>606</v>
      </c>
      <c r="K216" s="37"/>
      <c r="L216" s="213">
        <v>12.9</v>
      </c>
      <c r="M216" s="232">
        <v>2.6</v>
      </c>
      <c r="N216" s="213"/>
      <c r="O216" s="213">
        <v>18.3</v>
      </c>
      <c r="P216" s="232">
        <v>7.3</v>
      </c>
      <c r="Q216" s="144"/>
      <c r="R216" s="144"/>
      <c r="S216" s="144"/>
    </row>
    <row r="217" spans="1:19" s="4" customFormat="1" ht="12.75">
      <c r="A217" s="144"/>
      <c r="B217" s="155" t="s">
        <v>180</v>
      </c>
      <c r="C217" s="144"/>
      <c r="D217" s="21"/>
      <c r="E217" s="21"/>
      <c r="F217" s="21"/>
      <c r="G217" s="206"/>
      <c r="H217" s="206"/>
      <c r="I217" s="21"/>
      <c r="J217" s="206"/>
      <c r="K217" s="37"/>
      <c r="L217" s="213"/>
      <c r="M217" s="232"/>
      <c r="N217" s="213"/>
      <c r="O217" s="213"/>
      <c r="P217" s="232"/>
      <c r="Q217" s="144"/>
      <c r="R217" s="144"/>
      <c r="S217" s="144"/>
    </row>
    <row r="218" spans="2:17" ht="12.75">
      <c r="B218" s="163" t="s">
        <v>181</v>
      </c>
      <c r="C218" s="142"/>
      <c r="D218" s="21">
        <v>-34</v>
      </c>
      <c r="E218" s="21">
        <f>I218-D218</f>
        <v>-37</v>
      </c>
      <c r="F218" s="21">
        <v>-34</v>
      </c>
      <c r="G218" s="206">
        <f t="shared" si="8"/>
        <v>-28</v>
      </c>
      <c r="H218" s="21"/>
      <c r="I218" s="21">
        <v>-71</v>
      </c>
      <c r="J218" s="206">
        <v>-62</v>
      </c>
      <c r="K218" s="35"/>
      <c r="L218" s="213"/>
      <c r="M218" s="232"/>
      <c r="N218" s="213"/>
      <c r="O218" s="213"/>
      <c r="P218" s="232"/>
      <c r="Q218" s="142"/>
    </row>
    <row r="219" spans="2:17" ht="12.75">
      <c r="B219" s="163" t="s">
        <v>225</v>
      </c>
      <c r="C219" s="142"/>
      <c r="D219" s="21">
        <v>-4</v>
      </c>
      <c r="E219" s="21">
        <f>I219-D219</f>
        <v>3</v>
      </c>
      <c r="F219" s="31">
        <v>0</v>
      </c>
      <c r="G219" s="206">
        <f t="shared" si="8"/>
        <v>-1</v>
      </c>
      <c r="H219" s="21"/>
      <c r="I219" s="21">
        <v>-1</v>
      </c>
      <c r="J219" s="206">
        <v>-1</v>
      </c>
      <c r="K219" s="35"/>
      <c r="L219" s="213"/>
      <c r="M219" s="232"/>
      <c r="N219" s="213"/>
      <c r="O219" s="213"/>
      <c r="P219" s="232"/>
      <c r="Q219" s="142"/>
    </row>
    <row r="220" spans="2:17" ht="12.75">
      <c r="B220" s="163" t="s">
        <v>36</v>
      </c>
      <c r="C220" s="142"/>
      <c r="D220" s="21">
        <v>-67</v>
      </c>
      <c r="E220" s="21">
        <f>I220-D220</f>
        <v>-82</v>
      </c>
      <c r="F220" s="21">
        <v>-80</v>
      </c>
      <c r="G220" s="206">
        <f t="shared" si="8"/>
        <v>-89</v>
      </c>
      <c r="H220" s="21"/>
      <c r="I220" s="21">
        <v>-149</v>
      </c>
      <c r="J220" s="206">
        <v>-169</v>
      </c>
      <c r="K220" s="35"/>
      <c r="L220" s="213"/>
      <c r="M220" s="232"/>
      <c r="N220" s="213"/>
      <c r="O220" s="213"/>
      <c r="P220" s="232"/>
      <c r="Q220" s="142"/>
    </row>
    <row r="221" spans="2:17" ht="12.75">
      <c r="B221" s="155" t="s">
        <v>32</v>
      </c>
      <c r="C221" s="142"/>
      <c r="D221" s="214">
        <v>0</v>
      </c>
      <c r="E221" s="214">
        <f>I221-D221</f>
        <v>0</v>
      </c>
      <c r="F221" s="214">
        <v>0</v>
      </c>
      <c r="G221" s="206">
        <f t="shared" si="8"/>
        <v>-1</v>
      </c>
      <c r="H221" s="31"/>
      <c r="I221" s="214">
        <v>0</v>
      </c>
      <c r="J221" s="206">
        <v>-1</v>
      </c>
      <c r="K221" s="35"/>
      <c r="L221" s="213"/>
      <c r="M221" s="232"/>
      <c r="N221" s="213"/>
      <c r="O221" s="213"/>
      <c r="P221" s="232"/>
      <c r="Q221" s="142"/>
    </row>
    <row r="222" spans="1:19" s="4" customFormat="1" ht="13.5" thickBot="1">
      <c r="A222" s="144"/>
      <c r="B222" s="161" t="s">
        <v>33</v>
      </c>
      <c r="C222" s="144"/>
      <c r="D222" s="27">
        <f>D216+D218+D219+D220+D221</f>
        <v>164</v>
      </c>
      <c r="E222" s="27">
        <f>E216+E218+E219+E220+E221</f>
        <v>201</v>
      </c>
      <c r="F222" s="27">
        <f>F216+F218+F219+F220+F221</f>
        <v>175</v>
      </c>
      <c r="G222" s="207">
        <f t="shared" si="8"/>
        <v>198</v>
      </c>
      <c r="H222" s="206"/>
      <c r="I222" s="27">
        <f>I216+I218+I219+I220+I221</f>
        <v>365</v>
      </c>
      <c r="J222" s="207">
        <v>373</v>
      </c>
      <c r="K222" s="37"/>
      <c r="L222" s="213">
        <v>12.9</v>
      </c>
      <c r="M222" s="232">
        <v>1</v>
      </c>
      <c r="N222" s="213"/>
      <c r="O222" s="213">
        <v>19.1</v>
      </c>
      <c r="P222" s="232">
        <v>6.3</v>
      </c>
      <c r="Q222" s="144"/>
      <c r="R222" s="144"/>
      <c r="S222" s="144"/>
    </row>
    <row r="223" spans="2:17" ht="13.5" thickTop="1">
      <c r="B223" s="142"/>
      <c r="C223" s="142"/>
      <c r="D223" s="21"/>
      <c r="E223" s="21"/>
      <c r="F223" s="21"/>
      <c r="G223" s="206"/>
      <c r="H223" s="21"/>
      <c r="I223" s="21"/>
      <c r="J223" s="206"/>
      <c r="K223" s="35"/>
      <c r="L223" s="213"/>
      <c r="M223" s="232"/>
      <c r="N223" s="213"/>
      <c r="O223" s="213"/>
      <c r="P223" s="232"/>
      <c r="Q223" s="142"/>
    </row>
    <row r="224" spans="2:17" ht="12.75">
      <c r="B224" s="161" t="s">
        <v>38</v>
      </c>
      <c r="C224" s="142"/>
      <c r="D224" s="38">
        <f>D216/D212</f>
        <v>0.3502604166666667</v>
      </c>
      <c r="E224" s="38">
        <f>E216/E212</f>
        <v>0.3769322235434007</v>
      </c>
      <c r="F224" s="38">
        <f>F216/F212</f>
        <v>0.3486127864897467</v>
      </c>
      <c r="G224" s="42">
        <f>G216/G212</f>
        <v>0.3340358271865121</v>
      </c>
      <c r="H224" s="38"/>
      <c r="I224" s="38">
        <f>I216/I212</f>
        <v>0.3642013673088875</v>
      </c>
      <c r="J224" s="42">
        <f>J216/J212</f>
        <v>0.3408323959505062</v>
      </c>
      <c r="K224" s="35"/>
      <c r="L224" s="213"/>
      <c r="M224" s="232"/>
      <c r="N224" s="213"/>
      <c r="O224" s="213"/>
      <c r="P224" s="232"/>
      <c r="Q224" s="142"/>
    </row>
    <row r="225" spans="2:17" ht="12.75">
      <c r="B225" s="163" t="s">
        <v>81</v>
      </c>
      <c r="C225" s="142"/>
      <c r="D225" s="21">
        <v>62</v>
      </c>
      <c r="E225" s="21">
        <f>I225-D225</f>
        <v>142</v>
      </c>
      <c r="F225" s="21">
        <v>100</v>
      </c>
      <c r="G225" s="206">
        <f>J225-F225</f>
        <v>137</v>
      </c>
      <c r="H225" s="21"/>
      <c r="I225" s="21">
        <v>204</v>
      </c>
      <c r="J225" s="157">
        <v>237</v>
      </c>
      <c r="K225" s="35"/>
      <c r="L225" s="213"/>
      <c r="M225" s="232"/>
      <c r="N225" s="213"/>
      <c r="O225" s="213"/>
      <c r="P225" s="232"/>
      <c r="Q225" s="142"/>
    </row>
    <row r="226" spans="2:17" ht="12.75">
      <c r="B226" s="142"/>
      <c r="C226" s="142"/>
      <c r="D226" s="156"/>
      <c r="E226" s="156"/>
      <c r="F226" s="156"/>
      <c r="G226" s="157"/>
      <c r="H226" s="156"/>
      <c r="I226" s="156"/>
      <c r="J226" s="157"/>
      <c r="K226" s="148"/>
      <c r="L226" s="158"/>
      <c r="M226" s="232"/>
      <c r="N226" s="158"/>
      <c r="O226" s="158"/>
      <c r="P226" s="232"/>
      <c r="Q226" s="142"/>
    </row>
    <row r="227" spans="2:17" ht="12.75">
      <c r="B227" s="142"/>
      <c r="C227" s="142"/>
      <c r="D227" s="156"/>
      <c r="E227" s="156"/>
      <c r="F227" s="156"/>
      <c r="G227" s="157"/>
      <c r="H227" s="156"/>
      <c r="I227" s="156"/>
      <c r="J227" s="157"/>
      <c r="K227" s="148"/>
      <c r="L227" s="158"/>
      <c r="M227" s="232"/>
      <c r="N227" s="158"/>
      <c r="O227" s="158"/>
      <c r="P227" s="232"/>
      <c r="Q227" s="142"/>
    </row>
    <row r="228" spans="1:17" ht="12.75">
      <c r="A228" s="144" t="s">
        <v>212</v>
      </c>
      <c r="B228" s="142"/>
      <c r="C228" s="142"/>
      <c r="D228" s="156"/>
      <c r="E228" s="156"/>
      <c r="F228" s="156"/>
      <c r="G228" s="157"/>
      <c r="H228" s="156"/>
      <c r="I228" s="156"/>
      <c r="J228" s="157"/>
      <c r="K228" s="148"/>
      <c r="L228" s="158"/>
      <c r="M228" s="232"/>
      <c r="N228" s="158"/>
      <c r="O228" s="158"/>
      <c r="P228" s="232"/>
      <c r="Q228" s="142"/>
    </row>
    <row r="229" spans="2:17" ht="12.75">
      <c r="B229" s="155" t="s">
        <v>104</v>
      </c>
      <c r="C229" s="142"/>
      <c r="D229" s="21">
        <v>1272</v>
      </c>
      <c r="E229" s="21">
        <f>I229-D229</f>
        <v>1380</v>
      </c>
      <c r="F229" s="21">
        <v>1498</v>
      </c>
      <c r="G229" s="206">
        <f>J229-F229</f>
        <v>1352</v>
      </c>
      <c r="H229" s="21"/>
      <c r="I229" s="21">
        <v>2652</v>
      </c>
      <c r="J229" s="206">
        <v>2850</v>
      </c>
      <c r="K229" s="35"/>
      <c r="L229" s="213"/>
      <c r="M229" s="232"/>
      <c r="N229" s="213"/>
      <c r="O229" s="213"/>
      <c r="P229" s="232"/>
      <c r="Q229" s="142"/>
    </row>
    <row r="230" spans="2:17" ht="12.75">
      <c r="B230" s="155" t="s">
        <v>23</v>
      </c>
      <c r="C230" s="142"/>
      <c r="D230" s="21">
        <v>156</v>
      </c>
      <c r="E230" s="21">
        <f>I230-D230</f>
        <v>179</v>
      </c>
      <c r="F230" s="21">
        <v>185</v>
      </c>
      <c r="G230" s="206">
        <f aca="true" t="shared" si="9" ref="G230:G246">J230-F230</f>
        <v>183</v>
      </c>
      <c r="H230" s="21"/>
      <c r="I230" s="21">
        <v>335</v>
      </c>
      <c r="J230" s="206">
        <v>368</v>
      </c>
      <c r="K230" s="35"/>
      <c r="L230" s="213"/>
      <c r="M230" s="232"/>
      <c r="N230" s="213"/>
      <c r="O230" s="213"/>
      <c r="P230" s="232"/>
      <c r="Q230" s="142"/>
    </row>
    <row r="231" spans="2:17" ht="12.75">
      <c r="B231" s="155" t="s">
        <v>21</v>
      </c>
      <c r="C231" s="142"/>
      <c r="D231" s="21">
        <v>47</v>
      </c>
      <c r="E231" s="21">
        <f>I231-D231</f>
        <v>57</v>
      </c>
      <c r="F231" s="21">
        <v>70</v>
      </c>
      <c r="G231" s="206">
        <f t="shared" si="9"/>
        <v>82</v>
      </c>
      <c r="H231" s="21"/>
      <c r="I231" s="21">
        <v>104</v>
      </c>
      <c r="J231" s="206">
        <v>152</v>
      </c>
      <c r="K231" s="35"/>
      <c r="L231" s="213"/>
      <c r="M231" s="232"/>
      <c r="N231" s="213"/>
      <c r="O231" s="213"/>
      <c r="P231" s="232"/>
      <c r="Q231" s="142"/>
    </row>
    <row r="232" spans="2:17" ht="12.75">
      <c r="B232" s="155" t="s">
        <v>105</v>
      </c>
      <c r="C232" s="142"/>
      <c r="D232" s="21">
        <v>8</v>
      </c>
      <c r="E232" s="21">
        <f>I232-D232</f>
        <v>8</v>
      </c>
      <c r="F232" s="21">
        <v>15</v>
      </c>
      <c r="G232" s="206">
        <f t="shared" si="9"/>
        <v>49</v>
      </c>
      <c r="H232" s="21"/>
      <c r="I232" s="21">
        <v>16</v>
      </c>
      <c r="J232" s="206">
        <v>64</v>
      </c>
      <c r="K232" s="35"/>
      <c r="L232" s="213"/>
      <c r="M232" s="232"/>
      <c r="N232" s="213"/>
      <c r="O232" s="213"/>
      <c r="P232" s="232"/>
      <c r="Q232" s="142"/>
    </row>
    <row r="233" spans="2:17" ht="12.75">
      <c r="B233" s="155" t="s">
        <v>24</v>
      </c>
      <c r="C233" s="142"/>
      <c r="D233" s="214">
        <v>72</v>
      </c>
      <c r="E233" s="25">
        <f>I233-D233</f>
        <v>40</v>
      </c>
      <c r="F233" s="25">
        <v>82</v>
      </c>
      <c r="G233" s="215">
        <f t="shared" si="9"/>
        <v>49</v>
      </c>
      <c r="H233" s="31"/>
      <c r="I233" s="25">
        <v>112</v>
      </c>
      <c r="J233" s="215">
        <v>131</v>
      </c>
      <c r="K233" s="35"/>
      <c r="L233" s="213"/>
      <c r="M233" s="232"/>
      <c r="N233" s="213"/>
      <c r="O233" s="213"/>
      <c r="P233" s="232"/>
      <c r="Q233" s="142"/>
    </row>
    <row r="234" spans="1:19" s="4" customFormat="1" ht="12.75">
      <c r="A234" s="144"/>
      <c r="B234" s="161" t="s">
        <v>84</v>
      </c>
      <c r="C234" s="144"/>
      <c r="D234" s="21">
        <f>SUM(D229:D233)</f>
        <v>1555</v>
      </c>
      <c r="E234" s="21">
        <f>SUM(E229:E233)</f>
        <v>1664</v>
      </c>
      <c r="F234" s="21">
        <f>SUM(F229:F233)</f>
        <v>1850</v>
      </c>
      <c r="G234" s="206">
        <f t="shared" si="9"/>
        <v>1715</v>
      </c>
      <c r="H234" s="206"/>
      <c r="I234" s="21">
        <f>SUM(I229:I233)</f>
        <v>3219</v>
      </c>
      <c r="J234" s="206">
        <v>3565</v>
      </c>
      <c r="K234" s="37"/>
      <c r="L234" s="213">
        <v>3.7</v>
      </c>
      <c r="M234" s="232">
        <v>-5.4</v>
      </c>
      <c r="N234" s="213"/>
      <c r="O234" s="213">
        <v>11.2</v>
      </c>
      <c r="P234" s="232">
        <v>-0.9</v>
      </c>
      <c r="Q234" s="144"/>
      <c r="R234" s="144"/>
      <c r="S234" s="144"/>
    </row>
    <row r="235" spans="2:17" ht="12.75">
      <c r="B235" s="155" t="s">
        <v>162</v>
      </c>
      <c r="C235" s="142"/>
      <c r="D235" s="25">
        <v>54</v>
      </c>
      <c r="E235" s="25">
        <f>I235-D235</f>
        <v>64</v>
      </c>
      <c r="F235" s="25">
        <v>72</v>
      </c>
      <c r="G235" s="215">
        <f t="shared" si="9"/>
        <v>86</v>
      </c>
      <c r="H235" s="21"/>
      <c r="I235" s="25">
        <v>118</v>
      </c>
      <c r="J235" s="215">
        <v>158</v>
      </c>
      <c r="K235" s="35"/>
      <c r="L235" s="213"/>
      <c r="M235" s="232"/>
      <c r="N235" s="213"/>
      <c r="O235" s="213"/>
      <c r="P235" s="232"/>
      <c r="Q235" s="142"/>
    </row>
    <row r="236" spans="1:19" s="4" customFormat="1" ht="12.75">
      <c r="A236" s="144"/>
      <c r="B236" s="161" t="s">
        <v>65</v>
      </c>
      <c r="C236" s="144"/>
      <c r="D236" s="21">
        <f>SUM(D234:D235)</f>
        <v>1609</v>
      </c>
      <c r="E236" s="21">
        <f>SUM(E234:E235)</f>
        <v>1728</v>
      </c>
      <c r="F236" s="21">
        <f>SUM(F234:F235)</f>
        <v>1922</v>
      </c>
      <c r="G236" s="206">
        <f t="shared" si="9"/>
        <v>1801</v>
      </c>
      <c r="H236" s="206"/>
      <c r="I236" s="21">
        <f>SUM(I234:I235)</f>
        <v>3337</v>
      </c>
      <c r="J236" s="206">
        <v>3723</v>
      </c>
      <c r="K236" s="37"/>
      <c r="L236" s="213">
        <v>4.3</v>
      </c>
      <c r="M236" s="232">
        <v>-4.6</v>
      </c>
      <c r="N236" s="213"/>
      <c r="O236" s="213">
        <v>11.2</v>
      </c>
      <c r="P236" s="232">
        <v>-0.2</v>
      </c>
      <c r="Q236" s="144"/>
      <c r="R236" s="144"/>
      <c r="S236" s="144"/>
    </row>
    <row r="237" spans="2:17" ht="12.75">
      <c r="B237" s="155" t="s">
        <v>166</v>
      </c>
      <c r="C237" s="142"/>
      <c r="D237" s="21">
        <v>-484</v>
      </c>
      <c r="E237" s="21">
        <f>I237-D237</f>
        <v>-507</v>
      </c>
      <c r="F237" s="21">
        <v>-574</v>
      </c>
      <c r="G237" s="206">
        <f t="shared" si="9"/>
        <v>-573</v>
      </c>
      <c r="H237" s="21"/>
      <c r="I237" s="21">
        <v>-991</v>
      </c>
      <c r="J237" s="206">
        <v>-1147</v>
      </c>
      <c r="K237" s="35"/>
      <c r="L237" s="213"/>
      <c r="M237" s="232"/>
      <c r="N237" s="213"/>
      <c r="O237" s="213"/>
      <c r="P237" s="232"/>
      <c r="Q237" s="142"/>
    </row>
    <row r="238" spans="2:17" ht="12.75">
      <c r="B238" s="155" t="s">
        <v>167</v>
      </c>
      <c r="C238" s="142"/>
      <c r="D238" s="21">
        <v>-355</v>
      </c>
      <c r="E238" s="21">
        <f>I238-D238</f>
        <v>-391</v>
      </c>
      <c r="F238" s="21">
        <v>-416</v>
      </c>
      <c r="G238" s="206">
        <f t="shared" si="9"/>
        <v>-403</v>
      </c>
      <c r="H238" s="21"/>
      <c r="I238" s="21">
        <v>-746</v>
      </c>
      <c r="J238" s="206">
        <v>-819</v>
      </c>
      <c r="K238" s="35"/>
      <c r="L238" s="213"/>
      <c r="M238" s="232"/>
      <c r="N238" s="213"/>
      <c r="O238" s="213"/>
      <c r="P238" s="232"/>
      <c r="Q238" s="142"/>
    </row>
    <row r="239" spans="2:17" ht="12.75">
      <c r="B239" s="155" t="s">
        <v>28</v>
      </c>
      <c r="C239" s="142"/>
      <c r="D239" s="25">
        <v>-254</v>
      </c>
      <c r="E239" s="25">
        <f>I239-D239</f>
        <v>-263</v>
      </c>
      <c r="F239" s="25">
        <v>-302</v>
      </c>
      <c r="G239" s="215">
        <f t="shared" si="9"/>
        <v>-371</v>
      </c>
      <c r="H239" s="21"/>
      <c r="I239" s="25">
        <v>-517</v>
      </c>
      <c r="J239" s="215">
        <v>-673</v>
      </c>
      <c r="K239" s="35"/>
      <c r="L239" s="213"/>
      <c r="M239" s="232"/>
      <c r="N239" s="213"/>
      <c r="O239" s="213"/>
      <c r="P239" s="232"/>
      <c r="Q239" s="142"/>
    </row>
    <row r="240" spans="1:19" s="4" customFormat="1" ht="12.75">
      <c r="A240" s="144"/>
      <c r="B240" s="161" t="s">
        <v>22</v>
      </c>
      <c r="C240" s="144"/>
      <c r="D240" s="21">
        <f>SUM(D236:D239)</f>
        <v>516</v>
      </c>
      <c r="E240" s="21">
        <f>SUM(E236:E239)</f>
        <v>567</v>
      </c>
      <c r="F240" s="21">
        <f>SUM(F236:F239)</f>
        <v>630</v>
      </c>
      <c r="G240" s="206">
        <f t="shared" si="9"/>
        <v>454</v>
      </c>
      <c r="H240" s="206"/>
      <c r="I240" s="21">
        <f>SUM(I236:I239)</f>
        <v>1083</v>
      </c>
      <c r="J240" s="206">
        <v>1084</v>
      </c>
      <c r="K240" s="37"/>
      <c r="L240" s="213">
        <v>8.3</v>
      </c>
      <c r="M240" s="232">
        <v>-21.1</v>
      </c>
      <c r="N240" s="213"/>
      <c r="O240" s="213">
        <v>13.9</v>
      </c>
      <c r="P240" s="232">
        <v>-7</v>
      </c>
      <c r="Q240" s="144"/>
      <c r="R240" s="144"/>
      <c r="S240" s="144"/>
    </row>
    <row r="241" spans="1:19" s="4" customFormat="1" ht="12.75">
      <c r="A241" s="144"/>
      <c r="B241" s="155" t="s">
        <v>180</v>
      </c>
      <c r="C241" s="144"/>
      <c r="D241" s="21"/>
      <c r="E241" s="21"/>
      <c r="F241" s="21"/>
      <c r="G241" s="206"/>
      <c r="H241" s="206"/>
      <c r="I241" s="21"/>
      <c r="J241" s="206"/>
      <c r="K241" s="37"/>
      <c r="L241" s="213"/>
      <c r="M241" s="232"/>
      <c r="N241" s="213"/>
      <c r="O241" s="213"/>
      <c r="P241" s="232"/>
      <c r="Q241" s="144"/>
      <c r="R241" s="144"/>
      <c r="S241" s="144"/>
    </row>
    <row r="242" spans="2:17" ht="12.75">
      <c r="B242" s="163" t="s">
        <v>181</v>
      </c>
      <c r="C242" s="142"/>
      <c r="D242" s="21">
        <v>-104</v>
      </c>
      <c r="E242" s="21">
        <f>I242-D242</f>
        <v>-119</v>
      </c>
      <c r="F242" s="21">
        <v>-130</v>
      </c>
      <c r="G242" s="206">
        <f t="shared" si="9"/>
        <v>-126</v>
      </c>
      <c r="H242" s="21"/>
      <c r="I242" s="21">
        <v>-223</v>
      </c>
      <c r="J242" s="206">
        <v>-256</v>
      </c>
      <c r="K242" s="35"/>
      <c r="L242" s="213"/>
      <c r="M242" s="232"/>
      <c r="N242" s="213"/>
      <c r="O242" s="213"/>
      <c r="P242" s="232"/>
      <c r="Q242" s="142"/>
    </row>
    <row r="243" spans="2:17" ht="12.75">
      <c r="B243" s="163" t="s">
        <v>225</v>
      </c>
      <c r="C243" s="142"/>
      <c r="D243" s="21">
        <v>-11</v>
      </c>
      <c r="E243" s="21">
        <f>I243-D243</f>
        <v>-10</v>
      </c>
      <c r="F243" s="21">
        <v>-12</v>
      </c>
      <c r="G243" s="206">
        <f t="shared" si="9"/>
        <v>-14</v>
      </c>
      <c r="H243" s="21"/>
      <c r="I243" s="21">
        <v>-21</v>
      </c>
      <c r="J243" s="206">
        <v>-26</v>
      </c>
      <c r="K243" s="35"/>
      <c r="L243" s="213"/>
      <c r="M243" s="232"/>
      <c r="N243" s="213"/>
      <c r="O243" s="213"/>
      <c r="P243" s="232"/>
      <c r="Q243" s="142"/>
    </row>
    <row r="244" spans="2:17" ht="12.75">
      <c r="B244" s="163" t="s">
        <v>36</v>
      </c>
      <c r="C244" s="142"/>
      <c r="D244" s="21">
        <v>-205</v>
      </c>
      <c r="E244" s="21">
        <f>I244-D244</f>
        <v>-247</v>
      </c>
      <c r="F244" s="21">
        <v>-282</v>
      </c>
      <c r="G244" s="206">
        <f t="shared" si="9"/>
        <v>-268</v>
      </c>
      <c r="H244" s="21"/>
      <c r="I244" s="21">
        <v>-452</v>
      </c>
      <c r="J244" s="206">
        <v>-550</v>
      </c>
      <c r="K244" s="35"/>
      <c r="L244" s="213"/>
      <c r="M244" s="232"/>
      <c r="N244" s="213"/>
      <c r="O244" s="213"/>
      <c r="P244" s="232"/>
      <c r="Q244" s="142"/>
    </row>
    <row r="245" spans="2:17" ht="12.75">
      <c r="B245" s="155" t="s">
        <v>32</v>
      </c>
      <c r="C245" s="142"/>
      <c r="D245" s="214">
        <v>0</v>
      </c>
      <c r="E245" s="214">
        <f>I245-D245</f>
        <v>0</v>
      </c>
      <c r="F245" s="25">
        <v>14</v>
      </c>
      <c r="G245" s="206">
        <f t="shared" si="9"/>
        <v>13</v>
      </c>
      <c r="H245" s="21"/>
      <c r="I245" s="214">
        <v>0</v>
      </c>
      <c r="J245" s="217">
        <v>27</v>
      </c>
      <c r="K245" s="35"/>
      <c r="L245" s="213"/>
      <c r="M245" s="232"/>
      <c r="N245" s="213"/>
      <c r="O245" s="213"/>
      <c r="P245" s="232"/>
      <c r="Q245" s="142"/>
    </row>
    <row r="246" spans="1:19" s="4" customFormat="1" ht="13.5" thickBot="1">
      <c r="A246" s="144"/>
      <c r="B246" s="161" t="s">
        <v>33</v>
      </c>
      <c r="C246" s="144"/>
      <c r="D246" s="27">
        <f>D240+D242+D243+D244+D245</f>
        <v>196</v>
      </c>
      <c r="E246" s="27">
        <f>E240+E242+E243+E244+E245</f>
        <v>191</v>
      </c>
      <c r="F246" s="27">
        <f>F240+F242+F243+F244+F245</f>
        <v>220</v>
      </c>
      <c r="G246" s="207">
        <f t="shared" si="9"/>
        <v>59</v>
      </c>
      <c r="H246" s="206"/>
      <c r="I246" s="27">
        <f>I240+I242+I243+I244+I245</f>
        <v>387</v>
      </c>
      <c r="J246" s="207">
        <v>279</v>
      </c>
      <c r="K246" s="37"/>
      <c r="L246" s="213">
        <v>1.3</v>
      </c>
      <c r="M246" s="232">
        <v>-54.6</v>
      </c>
      <c r="N246" s="213"/>
      <c r="O246" s="213">
        <v>17</v>
      </c>
      <c r="P246" s="232">
        <v>-27.5</v>
      </c>
      <c r="Q246" s="144"/>
      <c r="R246" s="144"/>
      <c r="S246" s="144"/>
    </row>
    <row r="247" spans="2:17" ht="13.5" thickTop="1">
      <c r="B247" s="142"/>
      <c r="C247" s="142"/>
      <c r="D247" s="21"/>
      <c r="E247" s="21"/>
      <c r="F247" s="21"/>
      <c r="G247" s="206"/>
      <c r="H247" s="21"/>
      <c r="I247" s="21"/>
      <c r="J247" s="206"/>
      <c r="K247" s="35"/>
      <c r="L247" s="213"/>
      <c r="M247" s="232"/>
      <c r="N247" s="213"/>
      <c r="O247" s="213"/>
      <c r="P247" s="232"/>
      <c r="Q247" s="142"/>
    </row>
    <row r="248" spans="2:17" ht="12.75">
      <c r="B248" s="161" t="s">
        <v>38</v>
      </c>
      <c r="C248" s="142"/>
      <c r="D248" s="38">
        <f>D240/D236</f>
        <v>0.3206960845245494</v>
      </c>
      <c r="E248" s="38">
        <f>E240/E236</f>
        <v>0.328125</v>
      </c>
      <c r="F248" s="38">
        <f>F240/F236</f>
        <v>0.32778355879292403</v>
      </c>
      <c r="G248" s="42">
        <f>G240/G236</f>
        <v>0.252082176568573</v>
      </c>
      <c r="H248" s="38"/>
      <c r="I248" s="38">
        <f>I240/I236</f>
        <v>0.3245430026970333</v>
      </c>
      <c r="J248" s="42">
        <f>J240/J236</f>
        <v>0.29116304055868925</v>
      </c>
      <c r="K248" s="35"/>
      <c r="L248" s="213"/>
      <c r="M248" s="232"/>
      <c r="N248" s="213"/>
      <c r="O248" s="213"/>
      <c r="P248" s="232"/>
      <c r="Q248" s="142"/>
    </row>
    <row r="249" spans="2:17" ht="12.75">
      <c r="B249" s="163" t="s">
        <v>81</v>
      </c>
      <c r="C249" s="142"/>
      <c r="D249" s="21">
        <v>261</v>
      </c>
      <c r="E249" s="21">
        <f>I249-D249</f>
        <v>441</v>
      </c>
      <c r="F249" s="21">
        <v>284</v>
      </c>
      <c r="G249" s="206">
        <f>J249-F249</f>
        <v>341</v>
      </c>
      <c r="H249" s="21"/>
      <c r="I249" s="21">
        <v>702</v>
      </c>
      <c r="J249" s="157">
        <v>625</v>
      </c>
      <c r="K249" s="35"/>
      <c r="L249" s="213"/>
      <c r="M249" s="232"/>
      <c r="N249" s="213"/>
      <c r="O249" s="213"/>
      <c r="P249" s="232"/>
      <c r="Q249" s="142"/>
    </row>
    <row r="250" spans="2:17" ht="12.75">
      <c r="B250" s="163"/>
      <c r="C250" s="142"/>
      <c r="D250" s="156"/>
      <c r="E250" s="156"/>
      <c r="F250" s="156"/>
      <c r="G250" s="157"/>
      <c r="H250" s="156"/>
      <c r="I250" s="156"/>
      <c r="J250" s="157"/>
      <c r="K250" s="148"/>
      <c r="L250" s="158"/>
      <c r="M250" s="232"/>
      <c r="N250" s="158"/>
      <c r="O250" s="158"/>
      <c r="P250" s="232"/>
      <c r="Q250" s="142"/>
    </row>
    <row r="251" spans="1:17" ht="12.75">
      <c r="A251" s="144" t="s">
        <v>215</v>
      </c>
      <c r="B251" s="142"/>
      <c r="C251" s="142"/>
      <c r="D251" s="156"/>
      <c r="E251" s="156"/>
      <c r="F251" s="156"/>
      <c r="G251" s="157"/>
      <c r="H251" s="156"/>
      <c r="I251" s="156"/>
      <c r="J251" s="157"/>
      <c r="K251" s="148"/>
      <c r="L251" s="158"/>
      <c r="M251" s="232"/>
      <c r="N251" s="158"/>
      <c r="O251" s="158"/>
      <c r="P251" s="232"/>
      <c r="Q251" s="142"/>
    </row>
    <row r="252" spans="2:17" ht="12.75">
      <c r="B252" s="155" t="s">
        <v>104</v>
      </c>
      <c r="C252" s="142"/>
      <c r="D252" s="21">
        <v>1475</v>
      </c>
      <c r="E252" s="21">
        <f>I252-D252</f>
        <v>1813</v>
      </c>
      <c r="F252" s="21">
        <v>2000</v>
      </c>
      <c r="G252" s="206">
        <f>J252-F252</f>
        <v>2349</v>
      </c>
      <c r="H252" s="21"/>
      <c r="I252" s="21">
        <v>3288</v>
      </c>
      <c r="J252" s="206">
        <v>4349</v>
      </c>
      <c r="K252" s="35"/>
      <c r="L252" s="213"/>
      <c r="M252" s="232"/>
      <c r="N252" s="213"/>
      <c r="O252" s="213"/>
      <c r="P252" s="232"/>
      <c r="Q252" s="142"/>
    </row>
    <row r="253" spans="2:17" ht="12.75">
      <c r="B253" s="155" t="s">
        <v>23</v>
      </c>
      <c r="C253" s="142"/>
      <c r="D253" s="21">
        <v>167</v>
      </c>
      <c r="E253" s="21">
        <f>I253-D253</f>
        <v>202</v>
      </c>
      <c r="F253" s="21">
        <v>208</v>
      </c>
      <c r="G253" s="206">
        <f aca="true" t="shared" si="10" ref="G253:G273">J253-F253</f>
        <v>225</v>
      </c>
      <c r="H253" s="21"/>
      <c r="I253" s="21">
        <v>369</v>
      </c>
      <c r="J253" s="206">
        <v>433</v>
      </c>
      <c r="K253" s="35"/>
      <c r="L253" s="213"/>
      <c r="M253" s="232"/>
      <c r="N253" s="213"/>
      <c r="O253" s="213"/>
      <c r="P253" s="232"/>
      <c r="Q253" s="142"/>
    </row>
    <row r="254" spans="2:17" ht="12.75">
      <c r="B254" s="155" t="s">
        <v>21</v>
      </c>
      <c r="C254" s="142"/>
      <c r="D254" s="21">
        <v>46</v>
      </c>
      <c r="E254" s="21">
        <f>I254-D254</f>
        <v>126</v>
      </c>
      <c r="F254" s="21">
        <v>131</v>
      </c>
      <c r="G254" s="206">
        <f t="shared" si="10"/>
        <v>163</v>
      </c>
      <c r="H254" s="21"/>
      <c r="I254" s="21">
        <v>172</v>
      </c>
      <c r="J254" s="206">
        <v>294</v>
      </c>
      <c r="K254" s="35"/>
      <c r="L254" s="213"/>
      <c r="M254" s="232"/>
      <c r="N254" s="213"/>
      <c r="O254" s="213"/>
      <c r="P254" s="232"/>
      <c r="Q254" s="142"/>
    </row>
    <row r="255" spans="2:17" ht="12.75">
      <c r="B255" s="155" t="s">
        <v>105</v>
      </c>
      <c r="C255" s="142"/>
      <c r="D255" s="21">
        <v>14</v>
      </c>
      <c r="E255" s="21">
        <f>I255-D255</f>
        <v>18</v>
      </c>
      <c r="F255" s="21">
        <v>23</v>
      </c>
      <c r="G255" s="206">
        <f t="shared" si="10"/>
        <v>30</v>
      </c>
      <c r="H255" s="21"/>
      <c r="I255" s="21">
        <v>32</v>
      </c>
      <c r="J255" s="206">
        <v>53</v>
      </c>
      <c r="K255" s="35"/>
      <c r="L255" s="213"/>
      <c r="M255" s="232"/>
      <c r="N255" s="213"/>
      <c r="O255" s="213"/>
      <c r="P255" s="232"/>
      <c r="Q255" s="142"/>
    </row>
    <row r="256" spans="2:17" ht="12.75">
      <c r="B256" s="155" t="s">
        <v>24</v>
      </c>
      <c r="C256" s="142"/>
      <c r="D256" s="25">
        <v>98</v>
      </c>
      <c r="E256" s="25">
        <f>I256-D256</f>
        <v>142</v>
      </c>
      <c r="F256" s="25">
        <v>119</v>
      </c>
      <c r="G256" s="215">
        <f t="shared" si="10"/>
        <v>186</v>
      </c>
      <c r="H256" s="21"/>
      <c r="I256" s="25">
        <v>240</v>
      </c>
      <c r="J256" s="215">
        <v>305</v>
      </c>
      <c r="K256" s="35"/>
      <c r="L256" s="213"/>
      <c r="M256" s="232"/>
      <c r="N256" s="213"/>
      <c r="O256" s="213"/>
      <c r="P256" s="232"/>
      <c r="Q256" s="142"/>
    </row>
    <row r="257" spans="1:19" s="4" customFormat="1" ht="12.75">
      <c r="A257" s="144"/>
      <c r="B257" s="161" t="s">
        <v>84</v>
      </c>
      <c r="C257" s="144"/>
      <c r="D257" s="21">
        <f>SUM(D252:D256)</f>
        <v>1800</v>
      </c>
      <c r="E257" s="21">
        <f>SUM(E252:E256)</f>
        <v>2301</v>
      </c>
      <c r="F257" s="21">
        <f>SUM(F252:F256)</f>
        <v>2481</v>
      </c>
      <c r="G257" s="206">
        <f t="shared" si="10"/>
        <v>2953</v>
      </c>
      <c r="H257" s="206"/>
      <c r="I257" s="21">
        <f>SUM(I252:I256)</f>
        <v>4101</v>
      </c>
      <c r="J257" s="206">
        <v>5434</v>
      </c>
      <c r="K257" s="37"/>
      <c r="L257" s="213">
        <v>11.4</v>
      </c>
      <c r="M257" s="232">
        <v>6</v>
      </c>
      <c r="N257" s="213"/>
      <c r="O257" s="213">
        <v>16.2</v>
      </c>
      <c r="P257" s="232">
        <v>8.5</v>
      </c>
      <c r="Q257" s="144"/>
      <c r="R257" s="144"/>
      <c r="S257" s="144"/>
    </row>
    <row r="258" spans="2:17" ht="12.75">
      <c r="B258" s="155" t="s">
        <v>162</v>
      </c>
      <c r="C258" s="142"/>
      <c r="D258" s="25">
        <v>124</v>
      </c>
      <c r="E258" s="25">
        <f>I258-D258</f>
        <v>174</v>
      </c>
      <c r="F258" s="25">
        <v>176</v>
      </c>
      <c r="G258" s="215">
        <f t="shared" si="10"/>
        <v>209</v>
      </c>
      <c r="H258" s="21"/>
      <c r="I258" s="25">
        <v>298</v>
      </c>
      <c r="J258" s="215">
        <v>385</v>
      </c>
      <c r="K258" s="35"/>
      <c r="L258" s="213"/>
      <c r="M258" s="232"/>
      <c r="N258" s="213"/>
      <c r="O258" s="213"/>
      <c r="P258" s="232"/>
      <c r="Q258" s="142"/>
    </row>
    <row r="259" spans="1:19" s="4" customFormat="1" ht="12.75">
      <c r="A259" s="144"/>
      <c r="B259" s="161" t="s">
        <v>65</v>
      </c>
      <c r="C259" s="144"/>
      <c r="D259" s="21">
        <f>SUM(D257:D258)</f>
        <v>1924</v>
      </c>
      <c r="E259" s="21">
        <f>SUM(E257:E258)</f>
        <v>2475</v>
      </c>
      <c r="F259" s="21">
        <f>SUM(F257:F258)</f>
        <v>2657</v>
      </c>
      <c r="G259" s="206">
        <f t="shared" si="10"/>
        <v>3162</v>
      </c>
      <c r="H259" s="206"/>
      <c r="I259" s="21">
        <f>SUM(I257:I258)</f>
        <v>4399</v>
      </c>
      <c r="J259" s="206">
        <v>5819</v>
      </c>
      <c r="K259" s="37"/>
      <c r="L259" s="213">
        <v>12</v>
      </c>
      <c r="M259" s="232">
        <v>6.9</v>
      </c>
      <c r="N259" s="213"/>
      <c r="O259" s="213">
        <v>15.9</v>
      </c>
      <c r="P259" s="232">
        <v>9.3</v>
      </c>
      <c r="Q259" s="144"/>
      <c r="R259" s="144"/>
      <c r="S259" s="144"/>
    </row>
    <row r="260" spans="2:17" ht="12.75">
      <c r="B260" s="155" t="s">
        <v>166</v>
      </c>
      <c r="C260" s="142"/>
      <c r="D260" s="21">
        <v>-556</v>
      </c>
      <c r="E260" s="21">
        <f>I260-D260</f>
        <v>-731</v>
      </c>
      <c r="F260" s="21">
        <v>-810</v>
      </c>
      <c r="G260" s="206">
        <f t="shared" si="10"/>
        <v>-919</v>
      </c>
      <c r="H260" s="21"/>
      <c r="I260" s="21">
        <v>-1287</v>
      </c>
      <c r="J260" s="206">
        <v>-1729</v>
      </c>
      <c r="K260" s="35"/>
      <c r="L260" s="213"/>
      <c r="M260" s="232"/>
      <c r="N260" s="213"/>
      <c r="O260" s="213"/>
      <c r="P260" s="232"/>
      <c r="Q260" s="142"/>
    </row>
    <row r="261" spans="2:17" ht="12.75">
      <c r="B261" s="155" t="s">
        <v>167</v>
      </c>
      <c r="C261" s="142"/>
      <c r="D261" s="21">
        <v>-438</v>
      </c>
      <c r="E261" s="21">
        <f>I261-D261</f>
        <v>-510</v>
      </c>
      <c r="F261" s="21">
        <v>-587</v>
      </c>
      <c r="G261" s="206">
        <f t="shared" si="10"/>
        <v>-614</v>
      </c>
      <c r="H261" s="21"/>
      <c r="I261" s="21">
        <v>-948</v>
      </c>
      <c r="J261" s="206">
        <v>-1201</v>
      </c>
      <c r="K261" s="35"/>
      <c r="L261" s="213"/>
      <c r="M261" s="232"/>
      <c r="N261" s="213"/>
      <c r="O261" s="213"/>
      <c r="P261" s="232"/>
      <c r="Q261" s="142"/>
    </row>
    <row r="262" spans="2:17" ht="4.5" customHeight="1">
      <c r="B262" s="155"/>
      <c r="C262" s="142"/>
      <c r="D262" s="21"/>
      <c r="E262" s="21"/>
      <c r="F262" s="21"/>
      <c r="G262" s="215">
        <f t="shared" si="10"/>
        <v>0</v>
      </c>
      <c r="H262" s="21"/>
      <c r="I262" s="21"/>
      <c r="J262" s="215"/>
      <c r="K262" s="35"/>
      <c r="L262" s="213"/>
      <c r="M262" s="232"/>
      <c r="N262" s="213"/>
      <c r="O262" s="213"/>
      <c r="P262" s="232"/>
      <c r="Q262" s="142"/>
    </row>
    <row r="263" spans="2:17" ht="12.75">
      <c r="B263" s="170" t="s">
        <v>182</v>
      </c>
      <c r="C263" s="171"/>
      <c r="D263" s="218">
        <v>-232</v>
      </c>
      <c r="E263" s="218">
        <f>I263-D263</f>
        <v>-270</v>
      </c>
      <c r="F263" s="218">
        <v>-319</v>
      </c>
      <c r="G263" s="206">
        <f t="shared" si="10"/>
        <v>-334</v>
      </c>
      <c r="H263" s="218"/>
      <c r="I263" s="218">
        <v>-502</v>
      </c>
      <c r="J263" s="227">
        <v>-653</v>
      </c>
      <c r="K263" s="35"/>
      <c r="L263" s="213"/>
      <c r="M263" s="232"/>
      <c r="N263" s="213"/>
      <c r="O263" s="213"/>
      <c r="P263" s="232"/>
      <c r="Q263" s="142"/>
    </row>
    <row r="264" spans="2:17" ht="12.75">
      <c r="B264" s="173" t="s">
        <v>183</v>
      </c>
      <c r="C264" s="174"/>
      <c r="D264" s="25">
        <v>-206</v>
      </c>
      <c r="E264" s="25">
        <f>I264-D264</f>
        <v>-240</v>
      </c>
      <c r="F264" s="25">
        <v>-268</v>
      </c>
      <c r="G264" s="215">
        <f t="shared" si="10"/>
        <v>-280</v>
      </c>
      <c r="H264" s="25"/>
      <c r="I264" s="25">
        <v>-446</v>
      </c>
      <c r="J264" s="228">
        <v>-548</v>
      </c>
      <c r="K264" s="35"/>
      <c r="L264" s="213"/>
      <c r="M264" s="232"/>
      <c r="N264" s="213"/>
      <c r="O264" s="213"/>
      <c r="P264" s="232"/>
      <c r="Q264" s="142"/>
    </row>
    <row r="265" spans="2:17" ht="4.5" customHeight="1">
      <c r="B265" s="155"/>
      <c r="C265" s="142"/>
      <c r="D265" s="21"/>
      <c r="E265" s="21"/>
      <c r="F265" s="21"/>
      <c r="G265" s="206">
        <f t="shared" si="10"/>
        <v>0</v>
      </c>
      <c r="H265" s="21"/>
      <c r="I265" s="21"/>
      <c r="J265" s="206"/>
      <c r="K265" s="35"/>
      <c r="L265" s="213"/>
      <c r="M265" s="232"/>
      <c r="N265" s="213"/>
      <c r="O265" s="213"/>
      <c r="P265" s="232"/>
      <c r="Q265" s="142"/>
    </row>
    <row r="266" spans="2:17" ht="12.75">
      <c r="B266" s="155" t="s">
        <v>28</v>
      </c>
      <c r="C266" s="142"/>
      <c r="D266" s="25">
        <v>-287</v>
      </c>
      <c r="E266" s="25">
        <f>I266-D266</f>
        <v>-401</v>
      </c>
      <c r="F266" s="25">
        <v>-477</v>
      </c>
      <c r="G266" s="215">
        <f t="shared" si="10"/>
        <v>-673</v>
      </c>
      <c r="H266" s="21"/>
      <c r="I266" s="25">
        <v>-688</v>
      </c>
      <c r="J266" s="215">
        <v>-1150</v>
      </c>
      <c r="K266" s="35"/>
      <c r="L266" s="213"/>
      <c r="M266" s="232"/>
      <c r="N266" s="213"/>
      <c r="O266" s="213"/>
      <c r="P266" s="232"/>
      <c r="Q266" s="142"/>
    </row>
    <row r="267" spans="1:19" s="4" customFormat="1" ht="12.75">
      <c r="A267" s="144"/>
      <c r="B267" s="161" t="s">
        <v>22</v>
      </c>
      <c r="C267" s="144"/>
      <c r="D267" s="21">
        <f>SUM(D259:D266)-D263-D264</f>
        <v>643</v>
      </c>
      <c r="E267" s="21">
        <f>SUM(E259:E266)-E263-E264</f>
        <v>833</v>
      </c>
      <c r="F267" s="21">
        <f>SUM(F259:F266)-F264-F263</f>
        <v>783</v>
      </c>
      <c r="G267" s="206">
        <f t="shared" si="10"/>
        <v>956</v>
      </c>
      <c r="H267" s="206"/>
      <c r="I267" s="21">
        <f>SUM(I259:I266)-I263-I264</f>
        <v>1476</v>
      </c>
      <c r="J267" s="206">
        <v>1739</v>
      </c>
      <c r="K267" s="37"/>
      <c r="L267" s="213">
        <v>4.8</v>
      </c>
      <c r="M267" s="232">
        <v>9.2</v>
      </c>
      <c r="N267" s="213"/>
      <c r="O267" s="213">
        <v>14.3</v>
      </c>
      <c r="P267" s="232">
        <v>7.3</v>
      </c>
      <c r="Q267" s="144"/>
      <c r="R267" s="144"/>
      <c r="S267" s="144"/>
    </row>
    <row r="268" spans="1:19" s="4" customFormat="1" ht="12.75">
      <c r="A268" s="144"/>
      <c r="B268" s="155" t="s">
        <v>180</v>
      </c>
      <c r="C268" s="144"/>
      <c r="D268" s="21"/>
      <c r="E268" s="21"/>
      <c r="F268" s="21"/>
      <c r="G268" s="206"/>
      <c r="H268" s="206"/>
      <c r="I268" s="21"/>
      <c r="J268" s="206"/>
      <c r="K268" s="37"/>
      <c r="L268" s="213"/>
      <c r="M268" s="232"/>
      <c r="N268" s="213"/>
      <c r="O268" s="213"/>
      <c r="P268" s="232"/>
      <c r="Q268" s="144"/>
      <c r="R268" s="144"/>
      <c r="S268" s="144"/>
    </row>
    <row r="269" spans="2:17" ht="12.75">
      <c r="B269" s="163" t="s">
        <v>181</v>
      </c>
      <c r="C269" s="142"/>
      <c r="D269" s="21">
        <v>-174</v>
      </c>
      <c r="E269" s="21">
        <f>I269-D269</f>
        <v>-180</v>
      </c>
      <c r="F269" s="21">
        <v>-182</v>
      </c>
      <c r="G269" s="206">
        <f t="shared" si="10"/>
        <v>-211</v>
      </c>
      <c r="H269" s="21"/>
      <c r="I269" s="21">
        <v>-354</v>
      </c>
      <c r="J269" s="206">
        <v>-393</v>
      </c>
      <c r="K269" s="35"/>
      <c r="L269" s="213"/>
      <c r="M269" s="232"/>
      <c r="N269" s="213"/>
      <c r="O269" s="213"/>
      <c r="P269" s="232"/>
      <c r="Q269" s="142"/>
    </row>
    <row r="270" spans="2:17" ht="12.75">
      <c r="B270" s="163" t="s">
        <v>225</v>
      </c>
      <c r="C270" s="142"/>
      <c r="D270" s="21">
        <v>-21</v>
      </c>
      <c r="E270" s="21">
        <f>I270-D270</f>
        <v>-20</v>
      </c>
      <c r="F270" s="21">
        <v>-24</v>
      </c>
      <c r="G270" s="206">
        <f t="shared" si="10"/>
        <v>-26</v>
      </c>
      <c r="H270" s="21"/>
      <c r="I270" s="21">
        <v>-41</v>
      </c>
      <c r="J270" s="206">
        <v>-50</v>
      </c>
      <c r="K270" s="35"/>
      <c r="L270" s="213"/>
      <c r="M270" s="232"/>
      <c r="N270" s="213"/>
      <c r="O270" s="213"/>
      <c r="P270" s="232"/>
      <c r="Q270" s="142"/>
    </row>
    <row r="271" spans="2:17" ht="12.75">
      <c r="B271" s="163" t="s">
        <v>36</v>
      </c>
      <c r="C271" s="142"/>
      <c r="D271" s="21">
        <v>-245</v>
      </c>
      <c r="E271" s="21">
        <f>I271-D271</f>
        <v>-308</v>
      </c>
      <c r="F271" s="21">
        <v>-336</v>
      </c>
      <c r="G271" s="206">
        <f t="shared" si="10"/>
        <v>-439</v>
      </c>
      <c r="H271" s="21"/>
      <c r="I271" s="21">
        <v>-553</v>
      </c>
      <c r="J271" s="206">
        <v>-775</v>
      </c>
      <c r="K271" s="35"/>
      <c r="L271" s="213"/>
      <c r="M271" s="232"/>
      <c r="N271" s="213"/>
      <c r="O271" s="213"/>
      <c r="P271" s="232"/>
      <c r="Q271" s="142"/>
    </row>
    <row r="272" spans="2:17" ht="12.75">
      <c r="B272" s="155" t="s">
        <v>32</v>
      </c>
      <c r="C272" s="142"/>
      <c r="D272" s="25">
        <v>1</v>
      </c>
      <c r="E272" s="21">
        <f>I272-D272</f>
        <v>1</v>
      </c>
      <c r="F272" s="25">
        <v>2</v>
      </c>
      <c r="G272" s="206">
        <f t="shared" si="10"/>
        <v>2</v>
      </c>
      <c r="H272" s="21"/>
      <c r="I272" s="25">
        <v>2</v>
      </c>
      <c r="J272" s="215">
        <v>4</v>
      </c>
      <c r="K272" s="35"/>
      <c r="L272" s="213"/>
      <c r="M272" s="232"/>
      <c r="N272" s="213"/>
      <c r="O272" s="213"/>
      <c r="P272" s="232"/>
      <c r="Q272" s="142"/>
    </row>
    <row r="273" spans="1:19" s="4" customFormat="1" ht="13.5" thickBot="1">
      <c r="A273" s="144"/>
      <c r="B273" s="161" t="s">
        <v>33</v>
      </c>
      <c r="C273" s="144"/>
      <c r="D273" s="27">
        <f>D267+D269+D270+D271+D272</f>
        <v>204</v>
      </c>
      <c r="E273" s="27">
        <f>E267+E269+E270+E271+E272</f>
        <v>326</v>
      </c>
      <c r="F273" s="27">
        <f>F267+F269+F270+F271+F272</f>
        <v>243</v>
      </c>
      <c r="G273" s="207">
        <f t="shared" si="10"/>
        <v>282</v>
      </c>
      <c r="H273" s="206"/>
      <c r="I273" s="27">
        <f>I267+I269+I270+I271+I272</f>
        <v>530</v>
      </c>
      <c r="J273" s="207">
        <v>525</v>
      </c>
      <c r="K273" s="37"/>
      <c r="L273" s="213">
        <v>0.4</v>
      </c>
      <c r="M273" s="232">
        <v>11.2</v>
      </c>
      <c r="N273" s="213"/>
      <c r="O273" s="213">
        <v>8.1</v>
      </c>
      <c r="P273" s="232">
        <v>6.6</v>
      </c>
      <c r="Q273" s="144"/>
      <c r="R273" s="144"/>
      <c r="S273" s="144"/>
    </row>
    <row r="274" spans="2:17" ht="13.5" thickTop="1">
      <c r="B274" s="142"/>
      <c r="C274" s="142"/>
      <c r="D274" s="21"/>
      <c r="E274" s="21"/>
      <c r="F274" s="21"/>
      <c r="G274" s="206"/>
      <c r="H274" s="21"/>
      <c r="I274" s="21"/>
      <c r="J274" s="206"/>
      <c r="K274" s="35"/>
      <c r="L274" s="213"/>
      <c r="M274" s="232"/>
      <c r="N274" s="213"/>
      <c r="O274" s="213"/>
      <c r="P274" s="232"/>
      <c r="Q274" s="142"/>
    </row>
    <row r="275" spans="2:17" ht="12.75">
      <c r="B275" s="161" t="s">
        <v>38</v>
      </c>
      <c r="C275" s="142"/>
      <c r="D275" s="38">
        <f>D267/D259</f>
        <v>0.3341995841995842</v>
      </c>
      <c r="E275" s="38">
        <f>E267/E259</f>
        <v>0.33656565656565657</v>
      </c>
      <c r="F275" s="38">
        <f>F267/F259</f>
        <v>0.2946932630786601</v>
      </c>
      <c r="G275" s="42">
        <f>G267/G259</f>
        <v>0.30234029095509174</v>
      </c>
      <c r="H275" s="38"/>
      <c r="I275" s="38">
        <f>I267/I259</f>
        <v>0.3355308024551034</v>
      </c>
      <c r="J275" s="42">
        <f>J267/J259</f>
        <v>0.2988485994157072</v>
      </c>
      <c r="K275" s="35"/>
      <c r="L275" s="213"/>
      <c r="M275" s="232"/>
      <c r="N275" s="213"/>
      <c r="O275" s="213"/>
      <c r="P275" s="232"/>
      <c r="Q275" s="142"/>
    </row>
    <row r="276" spans="2:17" ht="12.75">
      <c r="B276" s="163" t="s">
        <v>81</v>
      </c>
      <c r="C276" s="142"/>
      <c r="D276" s="21">
        <v>594</v>
      </c>
      <c r="E276" s="21">
        <f>I276-D276</f>
        <v>899</v>
      </c>
      <c r="F276" s="21">
        <v>775</v>
      </c>
      <c r="G276" s="206">
        <f>J276-F276</f>
        <v>1100</v>
      </c>
      <c r="H276" s="21"/>
      <c r="I276" s="21">
        <v>1493</v>
      </c>
      <c r="J276" s="157">
        <v>1875</v>
      </c>
      <c r="K276" s="35"/>
      <c r="L276" s="213"/>
      <c r="M276" s="232"/>
      <c r="N276" s="213"/>
      <c r="O276" s="213"/>
      <c r="P276" s="232"/>
      <c r="Q276" s="142"/>
    </row>
    <row r="277" spans="2:17" ht="12.75">
      <c r="B277" s="163"/>
      <c r="C277" s="142"/>
      <c r="D277" s="156"/>
      <c r="E277" s="156"/>
      <c r="F277" s="156"/>
      <c r="G277" s="157"/>
      <c r="H277" s="156"/>
      <c r="I277" s="156"/>
      <c r="J277" s="157"/>
      <c r="K277" s="148"/>
      <c r="L277" s="158"/>
      <c r="M277" s="232"/>
      <c r="N277" s="158"/>
      <c r="O277" s="158"/>
      <c r="P277" s="232"/>
      <c r="Q277" s="142"/>
    </row>
    <row r="278" spans="1:17" ht="12.75">
      <c r="A278" s="144" t="s">
        <v>116</v>
      </c>
      <c r="B278" s="142"/>
      <c r="C278" s="142"/>
      <c r="D278" s="156"/>
      <c r="E278" s="156"/>
      <c r="F278" s="156"/>
      <c r="G278" s="157"/>
      <c r="H278" s="156"/>
      <c r="I278" s="156"/>
      <c r="J278" s="157"/>
      <c r="K278" s="148"/>
      <c r="L278" s="158"/>
      <c r="M278" s="232"/>
      <c r="N278" s="158"/>
      <c r="O278" s="158"/>
      <c r="P278" s="232"/>
      <c r="Q278" s="142"/>
    </row>
    <row r="279" spans="2:17" ht="12.75">
      <c r="B279" s="155" t="s">
        <v>104</v>
      </c>
      <c r="C279" s="142"/>
      <c r="D279" s="21">
        <v>633</v>
      </c>
      <c r="E279" s="21">
        <f>I279-D279</f>
        <v>882</v>
      </c>
      <c r="F279" s="21">
        <v>997</v>
      </c>
      <c r="G279" s="206">
        <f>J279-F279</f>
        <v>1244</v>
      </c>
      <c r="H279" s="21"/>
      <c r="I279" s="21">
        <v>1515</v>
      </c>
      <c r="J279" s="206">
        <v>2241</v>
      </c>
      <c r="K279" s="35"/>
      <c r="L279" s="213"/>
      <c r="M279" s="232"/>
      <c r="N279" s="213"/>
      <c r="O279" s="213"/>
      <c r="P279" s="232"/>
      <c r="Q279" s="142"/>
    </row>
    <row r="280" spans="2:17" ht="12.75">
      <c r="B280" s="155" t="s">
        <v>23</v>
      </c>
      <c r="C280" s="142"/>
      <c r="D280" s="21">
        <v>27</v>
      </c>
      <c r="E280" s="21">
        <f>I280-D280</f>
        <v>38</v>
      </c>
      <c r="F280" s="21">
        <v>38</v>
      </c>
      <c r="G280" s="206">
        <f aca="true" t="shared" si="11" ref="G280:G296">J280-F280</f>
        <v>47</v>
      </c>
      <c r="H280" s="21"/>
      <c r="I280" s="21">
        <v>65</v>
      </c>
      <c r="J280" s="206">
        <v>85</v>
      </c>
      <c r="K280" s="35"/>
      <c r="L280" s="213"/>
      <c r="M280" s="232"/>
      <c r="N280" s="213"/>
      <c r="O280" s="213"/>
      <c r="P280" s="232"/>
      <c r="Q280" s="142"/>
    </row>
    <row r="281" spans="2:17" ht="12.75">
      <c r="B281" s="155" t="s">
        <v>21</v>
      </c>
      <c r="C281" s="142"/>
      <c r="D281" s="21">
        <v>17</v>
      </c>
      <c r="E281" s="21">
        <f>I281-D281</f>
        <v>80</v>
      </c>
      <c r="F281" s="21">
        <v>67</v>
      </c>
      <c r="G281" s="206">
        <f t="shared" si="11"/>
        <v>81</v>
      </c>
      <c r="H281" s="21"/>
      <c r="I281" s="21">
        <v>97</v>
      </c>
      <c r="J281" s="206">
        <v>148</v>
      </c>
      <c r="K281" s="35"/>
      <c r="L281" s="213"/>
      <c r="M281" s="232"/>
      <c r="N281" s="213"/>
      <c r="O281" s="213"/>
      <c r="P281" s="232"/>
      <c r="Q281" s="142"/>
    </row>
    <row r="282" spans="2:17" ht="12.75">
      <c r="B282" s="155" t="s">
        <v>105</v>
      </c>
      <c r="C282" s="142"/>
      <c r="D282" s="31">
        <v>0</v>
      </c>
      <c r="E282" s="31">
        <f>I282-D282</f>
        <v>0</v>
      </c>
      <c r="F282" s="31">
        <v>0</v>
      </c>
      <c r="G282" s="210">
        <v>0</v>
      </c>
      <c r="H282" s="21"/>
      <c r="I282" s="31">
        <v>0</v>
      </c>
      <c r="J282" s="210">
        <v>0</v>
      </c>
      <c r="K282" s="35"/>
      <c r="L282" s="213"/>
      <c r="M282" s="232"/>
      <c r="N282" s="213"/>
      <c r="O282" s="213"/>
      <c r="P282" s="232"/>
      <c r="Q282" s="142"/>
    </row>
    <row r="283" spans="2:17" ht="12.75">
      <c r="B283" s="155" t="s">
        <v>24</v>
      </c>
      <c r="C283" s="142"/>
      <c r="D283" s="25">
        <v>26</v>
      </c>
      <c r="E283" s="25">
        <f>I283-D283</f>
        <v>50</v>
      </c>
      <c r="F283" s="25">
        <v>37</v>
      </c>
      <c r="G283" s="215">
        <f t="shared" si="11"/>
        <v>93</v>
      </c>
      <c r="H283" s="21"/>
      <c r="I283" s="25">
        <v>76</v>
      </c>
      <c r="J283" s="215">
        <v>130</v>
      </c>
      <c r="K283" s="35"/>
      <c r="L283" s="213"/>
      <c r="M283" s="232"/>
      <c r="N283" s="213"/>
      <c r="O283" s="213"/>
      <c r="P283" s="232"/>
      <c r="Q283" s="142"/>
    </row>
    <row r="284" spans="1:19" s="4" customFormat="1" ht="12.75">
      <c r="A284" s="144"/>
      <c r="B284" s="161" t="s">
        <v>84</v>
      </c>
      <c r="C284" s="144"/>
      <c r="D284" s="21">
        <f>SUM(D279:D283)</f>
        <v>703</v>
      </c>
      <c r="E284" s="21">
        <f>SUM(E279:E283)</f>
        <v>1050</v>
      </c>
      <c r="F284" s="21">
        <f>SUM(F279:F283)</f>
        <v>1139</v>
      </c>
      <c r="G284" s="206">
        <f t="shared" si="11"/>
        <v>1465</v>
      </c>
      <c r="H284" s="206"/>
      <c r="I284" s="21">
        <f>SUM(I279:I283)</f>
        <v>1753</v>
      </c>
      <c r="J284" s="206">
        <v>2604</v>
      </c>
      <c r="K284" s="37"/>
      <c r="L284" s="31">
        <v>0</v>
      </c>
      <c r="M284" s="31">
        <v>0</v>
      </c>
      <c r="N284" s="31"/>
      <c r="O284" s="31">
        <v>0</v>
      </c>
      <c r="P284" s="31">
        <v>0</v>
      </c>
      <c r="Q284" s="144"/>
      <c r="R284" s="144"/>
      <c r="S284" s="144"/>
    </row>
    <row r="285" spans="2:17" ht="12.75">
      <c r="B285" s="155" t="s">
        <v>162</v>
      </c>
      <c r="C285" s="142"/>
      <c r="D285" s="25">
        <v>20</v>
      </c>
      <c r="E285" s="25">
        <f>I285-D285</f>
        <v>49</v>
      </c>
      <c r="F285" s="25">
        <v>39</v>
      </c>
      <c r="G285" s="215">
        <f t="shared" si="11"/>
        <v>46</v>
      </c>
      <c r="H285" s="21"/>
      <c r="I285" s="25">
        <v>69</v>
      </c>
      <c r="J285" s="215">
        <v>85</v>
      </c>
      <c r="K285" s="35"/>
      <c r="L285" s="31"/>
      <c r="M285" s="31"/>
      <c r="N285" s="31"/>
      <c r="O285" s="31"/>
      <c r="P285" s="31"/>
      <c r="Q285" s="142"/>
    </row>
    <row r="286" spans="1:19" s="4" customFormat="1" ht="12.75">
      <c r="A286" s="144"/>
      <c r="B286" s="161" t="s">
        <v>65</v>
      </c>
      <c r="C286" s="144"/>
      <c r="D286" s="21">
        <f>SUM(D284:D285)</f>
        <v>723</v>
      </c>
      <c r="E286" s="21">
        <f>SUM(E284:E285)</f>
        <v>1099</v>
      </c>
      <c r="F286" s="21">
        <f>SUM(F284:F285)</f>
        <v>1178</v>
      </c>
      <c r="G286" s="206">
        <f t="shared" si="11"/>
        <v>1511</v>
      </c>
      <c r="H286" s="206"/>
      <c r="I286" s="21">
        <f>SUM(I284:I285)</f>
        <v>1822</v>
      </c>
      <c r="J286" s="206">
        <v>2689</v>
      </c>
      <c r="K286" s="37"/>
      <c r="L286" s="31">
        <v>0</v>
      </c>
      <c r="M286" s="31">
        <v>0</v>
      </c>
      <c r="N286" s="31"/>
      <c r="O286" s="31">
        <v>0</v>
      </c>
      <c r="P286" s="31">
        <v>0</v>
      </c>
      <c r="Q286" s="144"/>
      <c r="R286" s="144"/>
      <c r="S286" s="144"/>
    </row>
    <row r="287" spans="2:17" ht="12.75">
      <c r="B287" s="155" t="s">
        <v>166</v>
      </c>
      <c r="C287" s="142"/>
      <c r="D287" s="21">
        <v>-227</v>
      </c>
      <c r="E287" s="21">
        <f>I287-D287</f>
        <v>-361</v>
      </c>
      <c r="F287" s="21">
        <v>-396</v>
      </c>
      <c r="G287" s="206">
        <f t="shared" si="11"/>
        <v>-482</v>
      </c>
      <c r="H287" s="21"/>
      <c r="I287" s="21">
        <v>-588</v>
      </c>
      <c r="J287" s="206">
        <v>-878</v>
      </c>
      <c r="K287" s="35"/>
      <c r="L287" s="31"/>
      <c r="M287" s="31"/>
      <c r="N287" s="31"/>
      <c r="O287" s="31"/>
      <c r="P287" s="31"/>
      <c r="Q287" s="142"/>
    </row>
    <row r="288" spans="2:17" ht="12.75">
      <c r="B288" s="155" t="s">
        <v>167</v>
      </c>
      <c r="C288" s="142"/>
      <c r="D288" s="21">
        <v>-130</v>
      </c>
      <c r="E288" s="21">
        <f>I288-D288</f>
        <v>-171</v>
      </c>
      <c r="F288" s="21">
        <v>-184</v>
      </c>
      <c r="G288" s="206">
        <f t="shared" si="11"/>
        <v>-207</v>
      </c>
      <c r="H288" s="21"/>
      <c r="I288" s="21">
        <v>-301</v>
      </c>
      <c r="J288" s="206">
        <v>-391</v>
      </c>
      <c r="K288" s="35"/>
      <c r="L288" s="31"/>
      <c r="M288" s="31"/>
      <c r="N288" s="31"/>
      <c r="O288" s="31"/>
      <c r="P288" s="31"/>
      <c r="Q288" s="142"/>
    </row>
    <row r="289" spans="2:17" ht="12.75">
      <c r="B289" s="155" t="s">
        <v>28</v>
      </c>
      <c r="C289" s="142"/>
      <c r="D289" s="25">
        <v>-120</v>
      </c>
      <c r="E289" s="25">
        <f>I289-D289</f>
        <v>-215</v>
      </c>
      <c r="F289" s="25">
        <v>-263</v>
      </c>
      <c r="G289" s="215">
        <f t="shared" si="11"/>
        <v>-447</v>
      </c>
      <c r="H289" s="21"/>
      <c r="I289" s="25">
        <v>-335</v>
      </c>
      <c r="J289" s="215">
        <v>-710</v>
      </c>
      <c r="K289" s="35"/>
      <c r="L289" s="31"/>
      <c r="M289" s="31"/>
      <c r="N289" s="31"/>
      <c r="O289" s="31"/>
      <c r="P289" s="31"/>
      <c r="Q289" s="142"/>
    </row>
    <row r="290" spans="1:19" s="4" customFormat="1" ht="12.75">
      <c r="A290" s="144"/>
      <c r="B290" s="161" t="s">
        <v>22</v>
      </c>
      <c r="C290" s="144"/>
      <c r="D290" s="21">
        <f>SUM(D286:D289)</f>
        <v>246</v>
      </c>
      <c r="E290" s="21">
        <f>SUM(E286:E289)</f>
        <v>352</v>
      </c>
      <c r="F290" s="21">
        <f>SUM(F286:F289)</f>
        <v>335</v>
      </c>
      <c r="G290" s="206">
        <f t="shared" si="11"/>
        <v>375</v>
      </c>
      <c r="H290" s="206"/>
      <c r="I290" s="21">
        <f>SUM(I286:I289)</f>
        <v>598</v>
      </c>
      <c r="J290" s="206">
        <v>710</v>
      </c>
      <c r="K290" s="37"/>
      <c r="L290" s="31">
        <v>0</v>
      </c>
      <c r="M290" s="31">
        <v>0</v>
      </c>
      <c r="N290" s="31"/>
      <c r="O290" s="31">
        <v>0</v>
      </c>
      <c r="P290" s="31">
        <v>0</v>
      </c>
      <c r="Q290" s="144"/>
      <c r="R290" s="144"/>
      <c r="S290" s="144"/>
    </row>
    <row r="291" spans="1:19" s="4" customFormat="1" ht="12.75">
      <c r="A291" s="144"/>
      <c r="B291" s="155" t="s">
        <v>180</v>
      </c>
      <c r="C291" s="144"/>
      <c r="D291" s="21"/>
      <c r="E291" s="21"/>
      <c r="F291" s="21"/>
      <c r="G291" s="206"/>
      <c r="H291" s="206"/>
      <c r="I291" s="21"/>
      <c r="J291" s="206"/>
      <c r="K291" s="37"/>
      <c r="L291" s="31"/>
      <c r="M291" s="31"/>
      <c r="N291" s="31"/>
      <c r="O291" s="31"/>
      <c r="P291" s="31"/>
      <c r="Q291" s="144"/>
      <c r="R291" s="144"/>
      <c r="S291" s="144"/>
    </row>
    <row r="292" spans="2:17" ht="12.75">
      <c r="B292" s="163" t="s">
        <v>181</v>
      </c>
      <c r="C292" s="142"/>
      <c r="D292" s="21">
        <v>-171</v>
      </c>
      <c r="E292" s="21">
        <f>I292-D292</f>
        <v>-177</v>
      </c>
      <c r="F292" s="21">
        <v>-178</v>
      </c>
      <c r="G292" s="206">
        <f t="shared" si="11"/>
        <v>-205</v>
      </c>
      <c r="H292" s="31"/>
      <c r="I292" s="21">
        <v>-348</v>
      </c>
      <c r="J292" s="206">
        <v>-383</v>
      </c>
      <c r="K292" s="35"/>
      <c r="L292" s="31"/>
      <c r="M292" s="31"/>
      <c r="N292" s="31"/>
      <c r="O292" s="31"/>
      <c r="P292" s="31"/>
      <c r="Q292" s="142"/>
    </row>
    <row r="293" spans="2:17" ht="12.75">
      <c r="B293" s="163" t="s">
        <v>225</v>
      </c>
      <c r="C293" s="142"/>
      <c r="D293" s="21">
        <v>-1</v>
      </c>
      <c r="E293" s="21">
        <f>I293-D293</f>
        <v>1</v>
      </c>
      <c r="F293" s="31">
        <v>0</v>
      </c>
      <c r="G293" s="206">
        <f t="shared" si="11"/>
        <v>0</v>
      </c>
      <c r="H293" s="21"/>
      <c r="I293" s="31">
        <v>0</v>
      </c>
      <c r="J293" s="210">
        <v>0</v>
      </c>
      <c r="K293" s="35"/>
      <c r="L293" s="31"/>
      <c r="M293" s="31"/>
      <c r="N293" s="31"/>
      <c r="O293" s="31"/>
      <c r="P293" s="31"/>
      <c r="Q293" s="142"/>
    </row>
    <row r="294" spans="2:17" ht="12.75">
      <c r="B294" s="163" t="s">
        <v>36</v>
      </c>
      <c r="C294" s="142"/>
      <c r="D294" s="21">
        <v>-92</v>
      </c>
      <c r="E294" s="21">
        <f>I294-D294</f>
        <v>-123</v>
      </c>
      <c r="F294" s="21">
        <v>-150</v>
      </c>
      <c r="G294" s="206">
        <f t="shared" si="11"/>
        <v>-214</v>
      </c>
      <c r="H294" s="21"/>
      <c r="I294" s="21">
        <v>-215</v>
      </c>
      <c r="J294" s="206">
        <v>-364</v>
      </c>
      <c r="K294" s="35"/>
      <c r="L294" s="31"/>
      <c r="M294" s="31"/>
      <c r="N294" s="31"/>
      <c r="O294" s="31"/>
      <c r="P294" s="31"/>
      <c r="Q294" s="142"/>
    </row>
    <row r="295" spans="2:17" ht="12.75">
      <c r="B295" s="155" t="s">
        <v>32</v>
      </c>
      <c r="C295" s="142"/>
      <c r="D295" s="31">
        <v>0</v>
      </c>
      <c r="E295" s="31">
        <f>I295-D295</f>
        <v>0</v>
      </c>
      <c r="F295" s="214">
        <v>0</v>
      </c>
      <c r="G295" s="206">
        <f t="shared" si="11"/>
        <v>0</v>
      </c>
      <c r="H295" s="31"/>
      <c r="I295" s="31">
        <v>0</v>
      </c>
      <c r="J295" s="210">
        <v>0</v>
      </c>
      <c r="K295" s="35"/>
      <c r="L295" s="31"/>
      <c r="M295" s="31"/>
      <c r="N295" s="31"/>
      <c r="O295" s="31"/>
      <c r="P295" s="31"/>
      <c r="Q295" s="142"/>
    </row>
    <row r="296" spans="1:19" s="4" customFormat="1" ht="13.5" thickBot="1">
      <c r="A296" s="144"/>
      <c r="B296" s="161" t="s">
        <v>33</v>
      </c>
      <c r="C296" s="144"/>
      <c r="D296" s="27">
        <f>D290+D292+D293+D294+D295</f>
        <v>-18</v>
      </c>
      <c r="E296" s="27">
        <f>E290+E292+E293+E294+E295</f>
        <v>53</v>
      </c>
      <c r="F296" s="27">
        <f>F290+F292+F293+F294+F295</f>
        <v>7</v>
      </c>
      <c r="G296" s="207">
        <f t="shared" si="11"/>
        <v>-44</v>
      </c>
      <c r="H296" s="206"/>
      <c r="I296" s="27">
        <f>I290+I292+I293+I294+I295</f>
        <v>35</v>
      </c>
      <c r="J296" s="207">
        <v>-37</v>
      </c>
      <c r="K296" s="37"/>
      <c r="L296" s="31">
        <v>0</v>
      </c>
      <c r="M296" s="31">
        <v>0</v>
      </c>
      <c r="N296" s="31"/>
      <c r="O296" s="31">
        <v>0</v>
      </c>
      <c r="P296" s="31">
        <v>0</v>
      </c>
      <c r="Q296" s="144"/>
      <c r="R296" s="144"/>
      <c r="S296" s="144"/>
    </row>
    <row r="297" spans="2:17" ht="13.5" thickTop="1">
      <c r="B297" s="142"/>
      <c r="C297" s="142"/>
      <c r="D297" s="21"/>
      <c r="E297" s="21"/>
      <c r="F297" s="21"/>
      <c r="G297" s="206"/>
      <c r="H297" s="21"/>
      <c r="I297" s="21"/>
      <c r="J297" s="206"/>
      <c r="K297" s="35"/>
      <c r="L297" s="213"/>
      <c r="M297" s="232"/>
      <c r="N297" s="213"/>
      <c r="O297" s="213"/>
      <c r="P297" s="232"/>
      <c r="Q297" s="142"/>
    </row>
    <row r="298" spans="2:17" ht="12.75">
      <c r="B298" s="161" t="s">
        <v>38</v>
      </c>
      <c r="C298" s="142"/>
      <c r="D298" s="38">
        <f>D290/D286</f>
        <v>0.34024896265560167</v>
      </c>
      <c r="E298" s="38">
        <f>E290/E286</f>
        <v>0.3202911737943585</v>
      </c>
      <c r="F298" s="38">
        <f>F290/F286</f>
        <v>0.2843803056027165</v>
      </c>
      <c r="G298" s="42">
        <f>G290/G286</f>
        <v>0.24818001323626737</v>
      </c>
      <c r="H298" s="38"/>
      <c r="I298" s="38">
        <f>I290/I286</f>
        <v>0.32821075740944017</v>
      </c>
      <c r="J298" s="42">
        <f>J290/J286</f>
        <v>0.264038676087765</v>
      </c>
      <c r="K298" s="35"/>
      <c r="L298" s="213"/>
      <c r="M298" s="232"/>
      <c r="N298" s="213"/>
      <c r="O298" s="213"/>
      <c r="P298" s="232"/>
      <c r="Q298" s="142"/>
    </row>
    <row r="299" spans="2:17" ht="12.75">
      <c r="B299" s="163" t="s">
        <v>81</v>
      </c>
      <c r="C299" s="142"/>
      <c r="D299" s="21">
        <v>389</v>
      </c>
      <c r="E299" s="21">
        <f>I299-D299</f>
        <v>641</v>
      </c>
      <c r="F299" s="21">
        <v>592</v>
      </c>
      <c r="G299" s="206">
        <f>J299-F299</f>
        <v>759</v>
      </c>
      <c r="H299" s="21"/>
      <c r="I299" s="21">
        <v>1030</v>
      </c>
      <c r="J299" s="157">
        <v>1351</v>
      </c>
      <c r="K299" s="35"/>
      <c r="L299" s="213"/>
      <c r="M299" s="232"/>
      <c r="N299" s="213"/>
      <c r="O299" s="213"/>
      <c r="P299" s="232"/>
      <c r="Q299" s="142"/>
    </row>
    <row r="300" spans="4:16" s="142" customFormat="1" ht="12.75">
      <c r="D300" s="156"/>
      <c r="E300" s="156"/>
      <c r="F300" s="156"/>
      <c r="G300" s="157"/>
      <c r="H300" s="156"/>
      <c r="I300" s="156"/>
      <c r="J300" s="157"/>
      <c r="K300" s="148"/>
      <c r="L300" s="158"/>
      <c r="M300" s="232"/>
      <c r="N300" s="158"/>
      <c r="O300" s="158"/>
      <c r="P300" s="232"/>
    </row>
    <row r="301" spans="4:16" s="142" customFormat="1" ht="12.75">
      <c r="D301" s="156"/>
      <c r="E301" s="156"/>
      <c r="F301" s="156"/>
      <c r="G301" s="157"/>
      <c r="H301" s="156"/>
      <c r="I301" s="156"/>
      <c r="J301" s="157"/>
      <c r="K301" s="148"/>
      <c r="L301" s="158"/>
      <c r="M301" s="232"/>
      <c r="N301" s="158"/>
      <c r="O301" s="158"/>
      <c r="P301" s="232"/>
    </row>
    <row r="302" spans="1:17" ht="12.75">
      <c r="A302" s="144" t="s">
        <v>213</v>
      </c>
      <c r="B302" s="142"/>
      <c r="C302" s="142"/>
      <c r="D302" s="156"/>
      <c r="E302" s="156"/>
      <c r="F302" s="156"/>
      <c r="G302" s="157"/>
      <c r="H302" s="156"/>
      <c r="I302" s="156"/>
      <c r="J302" s="157"/>
      <c r="K302" s="148"/>
      <c r="L302" s="158"/>
      <c r="M302" s="232"/>
      <c r="N302" s="158"/>
      <c r="O302" s="158"/>
      <c r="P302" s="232"/>
      <c r="Q302" s="142"/>
    </row>
    <row r="303" spans="2:17" ht="12.75">
      <c r="B303" s="155" t="s">
        <v>104</v>
      </c>
      <c r="C303" s="142"/>
      <c r="D303" s="21">
        <v>842</v>
      </c>
      <c r="E303" s="21">
        <f>I303-D303</f>
        <v>931</v>
      </c>
      <c r="F303" s="21">
        <v>1003</v>
      </c>
      <c r="G303" s="206">
        <f>J303-F303</f>
        <v>1105</v>
      </c>
      <c r="H303" s="21"/>
      <c r="I303" s="21">
        <v>1773</v>
      </c>
      <c r="J303" s="206">
        <v>2108</v>
      </c>
      <c r="K303" s="35"/>
      <c r="L303" s="213"/>
      <c r="M303" s="232"/>
      <c r="N303" s="213"/>
      <c r="O303" s="213"/>
      <c r="P303" s="232"/>
      <c r="Q303" s="142"/>
    </row>
    <row r="304" spans="2:17" ht="12.75">
      <c r="B304" s="155" t="s">
        <v>23</v>
      </c>
      <c r="C304" s="142"/>
      <c r="D304" s="21">
        <v>140</v>
      </c>
      <c r="E304" s="21">
        <f>I304-D304</f>
        <v>164</v>
      </c>
      <c r="F304" s="21">
        <v>170</v>
      </c>
      <c r="G304" s="206">
        <f aca="true" t="shared" si="12" ref="G304:G320">J304-F304</f>
        <v>178</v>
      </c>
      <c r="H304" s="21"/>
      <c r="I304" s="21">
        <v>304</v>
      </c>
      <c r="J304" s="206">
        <v>348</v>
      </c>
      <c r="K304" s="35"/>
      <c r="L304" s="213"/>
      <c r="M304" s="232"/>
      <c r="N304" s="213"/>
      <c r="O304" s="213"/>
      <c r="P304" s="232"/>
      <c r="Q304" s="142"/>
    </row>
    <row r="305" spans="2:17" ht="12.75">
      <c r="B305" s="155" t="s">
        <v>21</v>
      </c>
      <c r="C305" s="142"/>
      <c r="D305" s="21">
        <v>29</v>
      </c>
      <c r="E305" s="21">
        <f>I305-D305</f>
        <v>46</v>
      </c>
      <c r="F305" s="21">
        <v>64</v>
      </c>
      <c r="G305" s="206">
        <f t="shared" si="12"/>
        <v>82</v>
      </c>
      <c r="H305" s="21"/>
      <c r="I305" s="21">
        <v>75</v>
      </c>
      <c r="J305" s="206">
        <v>146</v>
      </c>
      <c r="K305" s="35"/>
      <c r="L305" s="213"/>
      <c r="M305" s="232"/>
      <c r="N305" s="213"/>
      <c r="O305" s="213"/>
      <c r="P305" s="232"/>
      <c r="Q305" s="142"/>
    </row>
    <row r="306" spans="2:17" ht="12.75">
      <c r="B306" s="155" t="s">
        <v>105</v>
      </c>
      <c r="C306" s="142"/>
      <c r="D306" s="21">
        <v>14</v>
      </c>
      <c r="E306" s="21">
        <f>I306-D306</f>
        <v>18</v>
      </c>
      <c r="F306" s="21">
        <v>23</v>
      </c>
      <c r="G306" s="206">
        <f t="shared" si="12"/>
        <v>30</v>
      </c>
      <c r="H306" s="21"/>
      <c r="I306" s="21">
        <v>32</v>
      </c>
      <c r="J306" s="206">
        <v>53</v>
      </c>
      <c r="K306" s="35"/>
      <c r="L306" s="213"/>
      <c r="M306" s="232"/>
      <c r="N306" s="213"/>
      <c r="O306" s="213"/>
      <c r="P306" s="232"/>
      <c r="Q306" s="142"/>
    </row>
    <row r="307" spans="2:17" ht="12.75">
      <c r="B307" s="155" t="s">
        <v>24</v>
      </c>
      <c r="C307" s="142"/>
      <c r="D307" s="25">
        <v>72</v>
      </c>
      <c r="E307" s="25">
        <f>I307-D307</f>
        <v>92</v>
      </c>
      <c r="F307" s="25">
        <v>83</v>
      </c>
      <c r="G307" s="215">
        <f t="shared" si="12"/>
        <v>93</v>
      </c>
      <c r="H307" s="21"/>
      <c r="I307" s="25">
        <v>164</v>
      </c>
      <c r="J307" s="215">
        <v>176</v>
      </c>
      <c r="K307" s="35"/>
      <c r="L307" s="213"/>
      <c r="M307" s="232"/>
      <c r="N307" s="213"/>
      <c r="O307" s="213"/>
      <c r="P307" s="232"/>
      <c r="Q307" s="142"/>
    </row>
    <row r="308" spans="1:19" s="4" customFormat="1" ht="12.75">
      <c r="A308" s="144"/>
      <c r="B308" s="161" t="s">
        <v>84</v>
      </c>
      <c r="C308" s="144"/>
      <c r="D308" s="21">
        <f>SUM(D303:D307)</f>
        <v>1097</v>
      </c>
      <c r="E308" s="21">
        <f>SUM(E303:E307)</f>
        <v>1251</v>
      </c>
      <c r="F308" s="21">
        <f>SUM(F303:F307)</f>
        <v>1343</v>
      </c>
      <c r="G308" s="206">
        <f t="shared" si="12"/>
        <v>1488</v>
      </c>
      <c r="H308" s="206"/>
      <c r="I308" s="21">
        <f>SUM(I303:I307)</f>
        <v>2348</v>
      </c>
      <c r="J308" s="206">
        <v>2831</v>
      </c>
      <c r="K308" s="37"/>
      <c r="L308" s="213">
        <v>11.4</v>
      </c>
      <c r="M308" s="232">
        <v>6</v>
      </c>
      <c r="N308" s="213"/>
      <c r="O308" s="213">
        <v>16.2</v>
      </c>
      <c r="P308" s="232">
        <v>8.5</v>
      </c>
      <c r="Q308" s="144"/>
      <c r="R308" s="144"/>
      <c r="S308" s="144"/>
    </row>
    <row r="309" spans="2:17" ht="12.75">
      <c r="B309" s="155" t="s">
        <v>162</v>
      </c>
      <c r="C309" s="142"/>
      <c r="D309" s="25">
        <v>104</v>
      </c>
      <c r="E309" s="25">
        <f>I309-D309</f>
        <v>125</v>
      </c>
      <c r="F309" s="25">
        <v>137</v>
      </c>
      <c r="G309" s="215">
        <f t="shared" si="12"/>
        <v>163</v>
      </c>
      <c r="H309" s="21"/>
      <c r="I309" s="25">
        <v>229</v>
      </c>
      <c r="J309" s="215">
        <v>300</v>
      </c>
      <c r="K309" s="35"/>
      <c r="L309" s="213"/>
      <c r="M309" s="232"/>
      <c r="N309" s="213"/>
      <c r="O309" s="213"/>
      <c r="P309" s="232"/>
      <c r="Q309" s="142"/>
    </row>
    <row r="310" spans="1:19" s="4" customFormat="1" ht="12.75">
      <c r="A310" s="144"/>
      <c r="B310" s="161" t="s">
        <v>65</v>
      </c>
      <c r="C310" s="144"/>
      <c r="D310" s="21">
        <f>SUM(D308:D309)</f>
        <v>1201</v>
      </c>
      <c r="E310" s="21">
        <f>SUM(E308:E309)</f>
        <v>1376</v>
      </c>
      <c r="F310" s="21">
        <f>SUM(F308:F309)</f>
        <v>1480</v>
      </c>
      <c r="G310" s="206">
        <f t="shared" si="12"/>
        <v>1651</v>
      </c>
      <c r="H310" s="206"/>
      <c r="I310" s="21">
        <f>SUM(I308:I309)</f>
        <v>2577</v>
      </c>
      <c r="J310" s="206">
        <v>3131</v>
      </c>
      <c r="K310" s="37"/>
      <c r="L310" s="213">
        <v>12</v>
      </c>
      <c r="M310" s="232">
        <v>6.9</v>
      </c>
      <c r="N310" s="213"/>
      <c r="O310" s="213">
        <v>15.9</v>
      </c>
      <c r="P310" s="232">
        <v>9.3</v>
      </c>
      <c r="Q310" s="144"/>
      <c r="R310" s="144"/>
      <c r="S310" s="144"/>
    </row>
    <row r="311" spans="2:17" ht="12.75">
      <c r="B311" s="155" t="s">
        <v>166</v>
      </c>
      <c r="C311" s="142"/>
      <c r="D311" s="21">
        <v>-329</v>
      </c>
      <c r="E311" s="21">
        <f>I311-D311</f>
        <v>-370</v>
      </c>
      <c r="F311" s="21">
        <v>-415</v>
      </c>
      <c r="G311" s="206">
        <f t="shared" si="12"/>
        <v>-437</v>
      </c>
      <c r="H311" s="21"/>
      <c r="I311" s="21">
        <v>-699</v>
      </c>
      <c r="J311" s="206">
        <v>-852</v>
      </c>
      <c r="K311" s="35"/>
      <c r="L311" s="213"/>
      <c r="M311" s="232"/>
      <c r="N311" s="213"/>
      <c r="O311" s="213"/>
      <c r="P311" s="232"/>
      <c r="Q311" s="142"/>
    </row>
    <row r="312" spans="2:17" ht="12.75">
      <c r="B312" s="155" t="s">
        <v>167</v>
      </c>
      <c r="C312" s="142"/>
      <c r="D312" s="21">
        <v>-308</v>
      </c>
      <c r="E312" s="21">
        <f>I312-D312</f>
        <v>-339</v>
      </c>
      <c r="F312" s="21">
        <v>-403</v>
      </c>
      <c r="G312" s="206">
        <f t="shared" si="12"/>
        <v>-407</v>
      </c>
      <c r="H312" s="21"/>
      <c r="I312" s="21">
        <v>-647</v>
      </c>
      <c r="J312" s="206">
        <v>-810</v>
      </c>
      <c r="K312" s="35"/>
      <c r="L312" s="213"/>
      <c r="M312" s="232"/>
      <c r="N312" s="213"/>
      <c r="O312" s="213"/>
      <c r="P312" s="232"/>
      <c r="Q312" s="142"/>
    </row>
    <row r="313" spans="2:17" ht="12.75">
      <c r="B313" s="155" t="s">
        <v>28</v>
      </c>
      <c r="C313" s="142"/>
      <c r="D313" s="25">
        <v>-167</v>
      </c>
      <c r="E313" s="25">
        <f>I313-D313</f>
        <v>-186</v>
      </c>
      <c r="F313" s="25">
        <v>-214</v>
      </c>
      <c r="G313" s="215">
        <f t="shared" si="12"/>
        <v>-226</v>
      </c>
      <c r="H313" s="21"/>
      <c r="I313" s="25">
        <v>-353</v>
      </c>
      <c r="J313" s="215">
        <v>-440</v>
      </c>
      <c r="K313" s="35"/>
      <c r="L313" s="213"/>
      <c r="M313" s="232"/>
      <c r="N313" s="213"/>
      <c r="O313" s="213"/>
      <c r="P313" s="232"/>
      <c r="Q313" s="142"/>
    </row>
    <row r="314" spans="1:19" s="4" customFormat="1" ht="12.75">
      <c r="A314" s="144"/>
      <c r="B314" s="161" t="s">
        <v>22</v>
      </c>
      <c r="C314" s="144"/>
      <c r="D314" s="21">
        <f>SUM(D310:D313)</f>
        <v>397</v>
      </c>
      <c r="E314" s="21">
        <f>SUM(E310:E313)</f>
        <v>481</v>
      </c>
      <c r="F314" s="21">
        <f>SUM(F310:F313)</f>
        <v>448</v>
      </c>
      <c r="G314" s="206">
        <f t="shared" si="12"/>
        <v>581</v>
      </c>
      <c r="H314" s="206"/>
      <c r="I314" s="21">
        <f>SUM(I310:I313)</f>
        <v>878</v>
      </c>
      <c r="J314" s="206">
        <v>1029</v>
      </c>
      <c r="K314" s="37"/>
      <c r="L314" s="213">
        <v>4.8</v>
      </c>
      <c r="M314" s="232">
        <v>9.2</v>
      </c>
      <c r="N314" s="213"/>
      <c r="O314" s="213">
        <v>14.3</v>
      </c>
      <c r="P314" s="232">
        <v>7.3</v>
      </c>
      <c r="Q314" s="144"/>
      <c r="R314" s="144"/>
      <c r="S314" s="144"/>
    </row>
    <row r="315" spans="1:19" s="4" customFormat="1" ht="12.75">
      <c r="A315" s="144"/>
      <c r="B315" s="155" t="s">
        <v>180</v>
      </c>
      <c r="C315" s="144"/>
      <c r="D315" s="21"/>
      <c r="E315" s="21"/>
      <c r="F315" s="21"/>
      <c r="G315" s="206"/>
      <c r="H315" s="206"/>
      <c r="I315" s="21"/>
      <c r="J315" s="206"/>
      <c r="K315" s="37"/>
      <c r="L315" s="213"/>
      <c r="M315" s="232"/>
      <c r="N315" s="213"/>
      <c r="O315" s="213"/>
      <c r="P315" s="232"/>
      <c r="Q315" s="144"/>
      <c r="R315" s="144"/>
      <c r="S315" s="144"/>
    </row>
    <row r="316" spans="2:17" ht="12.75">
      <c r="B316" s="163" t="s">
        <v>181</v>
      </c>
      <c r="C316" s="142"/>
      <c r="D316" s="21">
        <v>-3</v>
      </c>
      <c r="E316" s="21">
        <f>I316-D316</f>
        <v>-3</v>
      </c>
      <c r="F316" s="21">
        <v>-4</v>
      </c>
      <c r="G316" s="206">
        <f t="shared" si="12"/>
        <v>-6</v>
      </c>
      <c r="H316" s="31"/>
      <c r="I316" s="21">
        <v>-6</v>
      </c>
      <c r="J316" s="206">
        <v>-10</v>
      </c>
      <c r="K316" s="35"/>
      <c r="L316" s="213"/>
      <c r="M316" s="232"/>
      <c r="N316" s="213"/>
      <c r="O316" s="213"/>
      <c r="P316" s="232"/>
      <c r="Q316" s="142"/>
    </row>
    <row r="317" spans="2:17" ht="12.75">
      <c r="B317" s="163" t="s">
        <v>225</v>
      </c>
      <c r="C317" s="142"/>
      <c r="D317" s="21">
        <v>-20</v>
      </c>
      <c r="E317" s="21">
        <f>I317-D317</f>
        <v>-21</v>
      </c>
      <c r="F317" s="21">
        <v>-24</v>
      </c>
      <c r="G317" s="206">
        <f t="shared" si="12"/>
        <v>-26</v>
      </c>
      <c r="H317" s="21"/>
      <c r="I317" s="21">
        <v>-41</v>
      </c>
      <c r="J317" s="206">
        <v>-50</v>
      </c>
      <c r="K317" s="35"/>
      <c r="L317" s="213"/>
      <c r="M317" s="232"/>
      <c r="N317" s="213"/>
      <c r="O317" s="213"/>
      <c r="P317" s="232"/>
      <c r="Q317" s="142"/>
    </row>
    <row r="318" spans="2:17" ht="12.75">
      <c r="B318" s="163" t="s">
        <v>36</v>
      </c>
      <c r="C318" s="142"/>
      <c r="D318" s="21">
        <v>-153</v>
      </c>
      <c r="E318" s="21">
        <f>I318-D318</f>
        <v>-185</v>
      </c>
      <c r="F318" s="21">
        <v>-186</v>
      </c>
      <c r="G318" s="206">
        <f t="shared" si="12"/>
        <v>-225</v>
      </c>
      <c r="H318" s="21"/>
      <c r="I318" s="21">
        <v>-338</v>
      </c>
      <c r="J318" s="206">
        <v>-411</v>
      </c>
      <c r="K318" s="35"/>
      <c r="L318" s="213"/>
      <c r="M318" s="232"/>
      <c r="N318" s="213"/>
      <c r="O318" s="213"/>
      <c r="P318" s="232"/>
      <c r="Q318" s="142"/>
    </row>
    <row r="319" spans="2:17" ht="12.75">
      <c r="B319" s="155" t="s">
        <v>32</v>
      </c>
      <c r="C319" s="142"/>
      <c r="D319" s="214">
        <v>1</v>
      </c>
      <c r="E319" s="21">
        <f>I319-D319</f>
        <v>1</v>
      </c>
      <c r="F319" s="214">
        <v>2</v>
      </c>
      <c r="G319" s="206">
        <f t="shared" si="12"/>
        <v>2</v>
      </c>
      <c r="H319" s="31"/>
      <c r="I319" s="31">
        <v>2</v>
      </c>
      <c r="J319" s="210">
        <v>4</v>
      </c>
      <c r="K319" s="35"/>
      <c r="L319" s="213"/>
      <c r="M319" s="232"/>
      <c r="N319" s="213"/>
      <c r="O319" s="213"/>
      <c r="P319" s="232"/>
      <c r="Q319" s="142"/>
    </row>
    <row r="320" spans="1:19" s="4" customFormat="1" ht="13.5" thickBot="1">
      <c r="A320" s="144"/>
      <c r="B320" s="161" t="s">
        <v>33</v>
      </c>
      <c r="C320" s="144"/>
      <c r="D320" s="27">
        <f>D314+D316+D317+D318+D319</f>
        <v>222</v>
      </c>
      <c r="E320" s="27">
        <f>E314+E316+E317+E318+E319</f>
        <v>273</v>
      </c>
      <c r="F320" s="27">
        <f>F314+F316+F317+F318+F319</f>
        <v>236</v>
      </c>
      <c r="G320" s="207">
        <f t="shared" si="12"/>
        <v>326</v>
      </c>
      <c r="H320" s="206"/>
      <c r="I320" s="27">
        <f>I314+I316+I317+I318+I319</f>
        <v>495</v>
      </c>
      <c r="J320" s="207">
        <v>562</v>
      </c>
      <c r="K320" s="37"/>
      <c r="L320" s="213">
        <v>0.4</v>
      </c>
      <c r="M320" s="232">
        <v>11.2</v>
      </c>
      <c r="N320" s="213"/>
      <c r="O320" s="213">
        <v>8.1</v>
      </c>
      <c r="P320" s="232">
        <v>6.6</v>
      </c>
      <c r="Q320" s="144"/>
      <c r="R320" s="144"/>
      <c r="S320" s="144"/>
    </row>
    <row r="321" spans="2:17" ht="13.5" thickTop="1">
      <c r="B321" s="142"/>
      <c r="C321" s="142"/>
      <c r="D321" s="21"/>
      <c r="E321" s="21"/>
      <c r="F321" s="21"/>
      <c r="G321" s="206"/>
      <c r="H321" s="21"/>
      <c r="I321" s="21"/>
      <c r="J321" s="206"/>
      <c r="K321" s="35"/>
      <c r="L321" s="213"/>
      <c r="M321" s="232"/>
      <c r="N321" s="213"/>
      <c r="O321" s="213"/>
      <c r="P321" s="232"/>
      <c r="Q321" s="142"/>
    </row>
    <row r="322" spans="2:17" ht="12.75">
      <c r="B322" s="161" t="s">
        <v>38</v>
      </c>
      <c r="C322" s="142"/>
      <c r="D322" s="38">
        <f>D314/D310</f>
        <v>0.3305578684429642</v>
      </c>
      <c r="E322" s="38">
        <f>E314/E310</f>
        <v>0.3495639534883721</v>
      </c>
      <c r="F322" s="38">
        <f>F314/F310</f>
        <v>0.3027027027027027</v>
      </c>
      <c r="G322" s="42">
        <f>G314/G310</f>
        <v>0.35190793458509995</v>
      </c>
      <c r="H322" s="38"/>
      <c r="I322" s="38">
        <f>I314/I310</f>
        <v>0.34070624757469925</v>
      </c>
      <c r="J322" s="42">
        <f>J314/J310</f>
        <v>0.32864899393165126</v>
      </c>
      <c r="K322" s="35"/>
      <c r="L322" s="213"/>
      <c r="M322" s="232"/>
      <c r="N322" s="213"/>
      <c r="O322" s="213"/>
      <c r="P322" s="232"/>
      <c r="Q322" s="142"/>
    </row>
    <row r="323" spans="2:17" ht="12.75">
      <c r="B323" s="163" t="s">
        <v>81</v>
      </c>
      <c r="C323" s="142"/>
      <c r="D323" s="21">
        <v>205</v>
      </c>
      <c r="E323" s="21">
        <f>I323-D323</f>
        <v>258</v>
      </c>
      <c r="F323" s="21">
        <v>183</v>
      </c>
      <c r="G323" s="206">
        <f>J323-F323</f>
        <v>341</v>
      </c>
      <c r="H323" s="21"/>
      <c r="I323" s="21">
        <v>463</v>
      </c>
      <c r="J323" s="157">
        <v>524</v>
      </c>
      <c r="K323" s="35"/>
      <c r="L323" s="213"/>
      <c r="M323" s="232"/>
      <c r="N323" s="213"/>
      <c r="O323" s="213"/>
      <c r="P323" s="232"/>
      <c r="Q323" s="142"/>
    </row>
    <row r="324" spans="4:16" s="142" customFormat="1" ht="12.75">
      <c r="D324" s="156"/>
      <c r="E324" s="156"/>
      <c r="F324" s="156"/>
      <c r="G324" s="157"/>
      <c r="H324" s="156"/>
      <c r="I324" s="156"/>
      <c r="J324" s="157"/>
      <c r="K324" s="148"/>
      <c r="L324" s="158"/>
      <c r="M324" s="232"/>
      <c r="N324" s="158"/>
      <c r="O324" s="158"/>
      <c r="P324" s="232"/>
    </row>
    <row r="325" spans="1:16" s="142" customFormat="1" ht="12.75">
      <c r="A325" s="144" t="s">
        <v>193</v>
      </c>
      <c r="D325" s="156"/>
      <c r="E325" s="156"/>
      <c r="F325" s="156"/>
      <c r="G325" s="157"/>
      <c r="H325" s="156"/>
      <c r="I325" s="156"/>
      <c r="J325" s="157"/>
      <c r="K325" s="148"/>
      <c r="L325" s="158"/>
      <c r="M325" s="232"/>
      <c r="N325" s="158"/>
      <c r="O325" s="158"/>
      <c r="P325" s="232"/>
    </row>
    <row r="326" spans="2:17" ht="12.75">
      <c r="B326" s="155" t="s">
        <v>104</v>
      </c>
      <c r="C326" s="142"/>
      <c r="D326" s="164">
        <v>0</v>
      </c>
      <c r="E326" s="179">
        <f>I326-D326</f>
        <v>0</v>
      </c>
      <c r="F326" s="164">
        <v>0</v>
      </c>
      <c r="G326" s="165">
        <f>J326-F326</f>
        <v>0</v>
      </c>
      <c r="H326" s="164"/>
      <c r="I326" s="179">
        <v>0</v>
      </c>
      <c r="J326" s="185">
        <v>0</v>
      </c>
      <c r="K326" s="180"/>
      <c r="L326" s="181"/>
      <c r="M326" s="249"/>
      <c r="N326" s="181"/>
      <c r="O326" s="181"/>
      <c r="P326" s="249"/>
      <c r="Q326" s="178"/>
    </row>
    <row r="327" spans="2:17" ht="12.75">
      <c r="B327" s="155" t="s">
        <v>23</v>
      </c>
      <c r="C327" s="142"/>
      <c r="D327" s="164">
        <v>0</v>
      </c>
      <c r="E327" s="179">
        <f>I327-D327</f>
        <v>0</v>
      </c>
      <c r="F327" s="164">
        <v>0</v>
      </c>
      <c r="G327" s="165">
        <f aca="true" t="shared" si="13" ref="G327:G343">J327-F327</f>
        <v>0</v>
      </c>
      <c r="H327" s="164"/>
      <c r="I327" s="179">
        <v>0</v>
      </c>
      <c r="J327" s="185">
        <v>0</v>
      </c>
      <c r="K327" s="180"/>
      <c r="L327" s="181"/>
      <c r="M327" s="249"/>
      <c r="N327" s="181"/>
      <c r="O327" s="181"/>
      <c r="P327" s="249"/>
      <c r="Q327" s="178"/>
    </row>
    <row r="328" spans="2:17" ht="12.75">
      <c r="B328" s="155" t="s">
        <v>21</v>
      </c>
      <c r="C328" s="142"/>
      <c r="D328" s="164">
        <v>0</v>
      </c>
      <c r="E328" s="179">
        <f>I328-D328</f>
        <v>0</v>
      </c>
      <c r="F328" s="164">
        <v>0</v>
      </c>
      <c r="G328" s="165">
        <f t="shared" si="13"/>
        <v>0</v>
      </c>
      <c r="H328" s="164"/>
      <c r="I328" s="179">
        <v>0</v>
      </c>
      <c r="J328" s="185">
        <v>0</v>
      </c>
      <c r="K328" s="180"/>
      <c r="L328" s="181"/>
      <c r="M328" s="249"/>
      <c r="N328" s="181"/>
      <c r="O328" s="181"/>
      <c r="P328" s="249"/>
      <c r="Q328" s="178"/>
    </row>
    <row r="329" spans="2:17" ht="12.75">
      <c r="B329" s="155" t="s">
        <v>105</v>
      </c>
      <c r="C329" s="142"/>
      <c r="D329" s="164">
        <v>0</v>
      </c>
      <c r="E329" s="179">
        <f>I329-D329</f>
        <v>0</v>
      </c>
      <c r="F329" s="164">
        <v>0</v>
      </c>
      <c r="G329" s="165">
        <f t="shared" si="13"/>
        <v>0</v>
      </c>
      <c r="H329" s="164"/>
      <c r="I329" s="179">
        <v>0</v>
      </c>
      <c r="J329" s="185">
        <v>0</v>
      </c>
      <c r="K329" s="180"/>
      <c r="L329" s="181"/>
      <c r="M329" s="249"/>
      <c r="N329" s="181"/>
      <c r="O329" s="181"/>
      <c r="P329" s="249"/>
      <c r="Q329" s="178"/>
    </row>
    <row r="330" spans="2:17" ht="12.75">
      <c r="B330" s="155" t="s">
        <v>24</v>
      </c>
      <c r="C330" s="142"/>
      <c r="D330" s="176">
        <v>0</v>
      </c>
      <c r="E330" s="182">
        <f>I330-D330</f>
        <v>0</v>
      </c>
      <c r="F330" s="176">
        <v>0</v>
      </c>
      <c r="G330" s="177">
        <f t="shared" si="13"/>
        <v>0</v>
      </c>
      <c r="H330" s="164"/>
      <c r="I330" s="182">
        <v>0</v>
      </c>
      <c r="J330" s="230">
        <v>0</v>
      </c>
      <c r="K330" s="180"/>
      <c r="L330" s="181"/>
      <c r="M330" s="249"/>
      <c r="N330" s="181"/>
      <c r="O330" s="181"/>
      <c r="P330" s="249"/>
      <c r="Q330" s="178"/>
    </row>
    <row r="331" spans="1:19" s="4" customFormat="1" ht="12.75">
      <c r="A331" s="144"/>
      <c r="B331" s="161" t="s">
        <v>84</v>
      </c>
      <c r="C331" s="144"/>
      <c r="D331" s="164">
        <f>SUM(D326:D330)</f>
        <v>0</v>
      </c>
      <c r="E331" s="179">
        <f>SUM(E326:E330)</f>
        <v>0</v>
      </c>
      <c r="F331" s="164">
        <f>SUM(F326:F330)</f>
        <v>0</v>
      </c>
      <c r="G331" s="165">
        <f t="shared" si="13"/>
        <v>0</v>
      </c>
      <c r="H331" s="165"/>
      <c r="I331" s="179">
        <f>SUM(I326:I330)</f>
        <v>0</v>
      </c>
      <c r="J331" s="185">
        <v>0</v>
      </c>
      <c r="K331" s="183"/>
      <c r="L331" s="181">
        <v>0</v>
      </c>
      <c r="M331" s="296">
        <v>0</v>
      </c>
      <c r="N331" s="181"/>
      <c r="O331" s="181">
        <v>0</v>
      </c>
      <c r="P331" s="249">
        <v>0</v>
      </c>
      <c r="Q331" s="184"/>
      <c r="R331" s="144"/>
      <c r="S331" s="144"/>
    </row>
    <row r="332" spans="2:17" ht="12.75">
      <c r="B332" s="155" t="s">
        <v>161</v>
      </c>
      <c r="C332" s="142"/>
      <c r="D332" s="176">
        <v>0</v>
      </c>
      <c r="E332" s="182">
        <f>I332-D332</f>
        <v>0</v>
      </c>
      <c r="F332" s="176">
        <v>0</v>
      </c>
      <c r="G332" s="177">
        <f t="shared" si="13"/>
        <v>0</v>
      </c>
      <c r="H332" s="164"/>
      <c r="I332" s="182">
        <v>0</v>
      </c>
      <c r="J332" s="230">
        <v>0</v>
      </c>
      <c r="K332" s="180"/>
      <c r="L332" s="181"/>
      <c r="M332" s="296"/>
      <c r="N332" s="181"/>
      <c r="O332" s="181"/>
      <c r="P332" s="249"/>
      <c r="Q332" s="178"/>
    </row>
    <row r="333" spans="1:19" s="4" customFormat="1" ht="12.75">
      <c r="A333" s="144"/>
      <c r="B333" s="161" t="s">
        <v>65</v>
      </c>
      <c r="C333" s="144"/>
      <c r="D333" s="164">
        <f>SUM(D331:D332)</f>
        <v>0</v>
      </c>
      <c r="E333" s="179">
        <f>SUM(E331:E332)</f>
        <v>0</v>
      </c>
      <c r="F333" s="164">
        <f>SUM(F331:F332)</f>
        <v>0</v>
      </c>
      <c r="G333" s="165">
        <f t="shared" si="13"/>
        <v>0</v>
      </c>
      <c r="H333" s="165"/>
      <c r="I333" s="179">
        <f>SUM(I331:I332)</f>
        <v>0</v>
      </c>
      <c r="J333" s="185">
        <v>0</v>
      </c>
      <c r="K333" s="183"/>
      <c r="L333" s="181">
        <v>0</v>
      </c>
      <c r="M333" s="296">
        <v>0</v>
      </c>
      <c r="N333" s="181"/>
      <c r="O333" s="181">
        <v>0</v>
      </c>
      <c r="P333" s="249">
        <v>0</v>
      </c>
      <c r="Q333" s="184"/>
      <c r="R333" s="144"/>
      <c r="S333" s="144"/>
    </row>
    <row r="334" spans="2:17" ht="12.75">
      <c r="B334" s="155" t="s">
        <v>166</v>
      </c>
      <c r="C334" s="142"/>
      <c r="D334" s="164">
        <v>0</v>
      </c>
      <c r="E334" s="179">
        <f>I334-D334</f>
        <v>0</v>
      </c>
      <c r="F334" s="164">
        <v>0</v>
      </c>
      <c r="G334" s="165">
        <f t="shared" si="13"/>
        <v>0</v>
      </c>
      <c r="H334" s="164"/>
      <c r="I334" s="179">
        <v>0</v>
      </c>
      <c r="J334" s="185">
        <v>0</v>
      </c>
      <c r="K334" s="180"/>
      <c r="L334" s="181"/>
      <c r="M334" s="296"/>
      <c r="N334" s="181"/>
      <c r="O334" s="181"/>
      <c r="P334" s="249"/>
      <c r="Q334" s="178"/>
    </row>
    <row r="335" spans="2:17" ht="12.75">
      <c r="B335" s="155" t="s">
        <v>167</v>
      </c>
      <c r="C335" s="142"/>
      <c r="D335" s="164">
        <v>0</v>
      </c>
      <c r="E335" s="179">
        <f>I335-D335</f>
        <v>0</v>
      </c>
      <c r="F335" s="164">
        <v>0</v>
      </c>
      <c r="G335" s="165">
        <f t="shared" si="13"/>
        <v>0</v>
      </c>
      <c r="H335" s="164"/>
      <c r="I335" s="179">
        <v>0</v>
      </c>
      <c r="J335" s="185">
        <v>0</v>
      </c>
      <c r="K335" s="180"/>
      <c r="L335" s="181"/>
      <c r="M335" s="296"/>
      <c r="N335" s="181"/>
      <c r="O335" s="181"/>
      <c r="P335" s="249"/>
      <c r="Q335" s="178"/>
    </row>
    <row r="336" spans="2:17" ht="12.75">
      <c r="B336" s="155" t="s">
        <v>28</v>
      </c>
      <c r="C336" s="142"/>
      <c r="D336" s="176">
        <v>0</v>
      </c>
      <c r="E336" s="182">
        <f>I336-D336</f>
        <v>0</v>
      </c>
      <c r="F336" s="176">
        <v>0</v>
      </c>
      <c r="G336" s="177">
        <f t="shared" si="13"/>
        <v>0</v>
      </c>
      <c r="H336" s="164"/>
      <c r="I336" s="182">
        <v>0</v>
      </c>
      <c r="J336" s="230">
        <v>0</v>
      </c>
      <c r="K336" s="180"/>
      <c r="L336" s="181"/>
      <c r="M336" s="296"/>
      <c r="N336" s="181"/>
      <c r="O336" s="181"/>
      <c r="P336" s="249"/>
      <c r="Q336" s="178"/>
    </row>
    <row r="337" spans="1:19" s="4" customFormat="1" ht="12.75">
      <c r="A337" s="144"/>
      <c r="B337" s="161" t="s">
        <v>22</v>
      </c>
      <c r="C337" s="144"/>
      <c r="D337" s="164">
        <f>SUM(D333:D336)</f>
        <v>0</v>
      </c>
      <c r="E337" s="179">
        <f>SUM(E333:E336)</f>
        <v>0</v>
      </c>
      <c r="F337" s="164">
        <f>SUM(F333:F336)</f>
        <v>0</v>
      </c>
      <c r="G337" s="165">
        <f t="shared" si="13"/>
        <v>0</v>
      </c>
      <c r="H337" s="165"/>
      <c r="I337" s="179">
        <f>SUM(I333:I336)</f>
        <v>0</v>
      </c>
      <c r="J337" s="185">
        <v>0</v>
      </c>
      <c r="K337" s="183"/>
      <c r="L337" s="181">
        <v>0</v>
      </c>
      <c r="M337" s="296">
        <v>0</v>
      </c>
      <c r="N337" s="181"/>
      <c r="O337" s="181">
        <v>0</v>
      </c>
      <c r="P337" s="249">
        <v>0</v>
      </c>
      <c r="Q337" s="184"/>
      <c r="R337" s="144"/>
      <c r="S337" s="144"/>
    </row>
    <row r="338" spans="1:19" s="4" customFormat="1" ht="12.75">
      <c r="A338" s="144"/>
      <c r="B338" s="155" t="s">
        <v>180</v>
      </c>
      <c r="C338" s="144"/>
      <c r="D338" s="164"/>
      <c r="E338" s="179"/>
      <c r="F338" s="164"/>
      <c r="G338" s="165">
        <f t="shared" si="13"/>
        <v>0</v>
      </c>
      <c r="H338" s="165"/>
      <c r="I338" s="179"/>
      <c r="J338" s="185"/>
      <c r="K338" s="183"/>
      <c r="L338" s="181"/>
      <c r="M338" s="249"/>
      <c r="N338" s="181"/>
      <c r="O338" s="181"/>
      <c r="P338" s="249"/>
      <c r="Q338" s="184"/>
      <c r="R338" s="144"/>
      <c r="S338" s="144"/>
    </row>
    <row r="339" spans="2:17" ht="12.75">
      <c r="B339" s="163" t="s">
        <v>181</v>
      </c>
      <c r="C339" s="142"/>
      <c r="D339" s="164">
        <v>0</v>
      </c>
      <c r="E339" s="179">
        <f>I339-D339</f>
        <v>0</v>
      </c>
      <c r="F339" s="164">
        <v>0</v>
      </c>
      <c r="G339" s="165">
        <f t="shared" si="13"/>
        <v>0</v>
      </c>
      <c r="H339" s="164"/>
      <c r="I339" s="179">
        <v>0</v>
      </c>
      <c r="J339" s="185">
        <v>0</v>
      </c>
      <c r="K339" s="180"/>
      <c r="L339" s="181"/>
      <c r="M339" s="249"/>
      <c r="N339" s="181"/>
      <c r="O339" s="181"/>
      <c r="P339" s="249"/>
      <c r="Q339" s="178"/>
    </row>
    <row r="340" spans="2:17" ht="12.75">
      <c r="B340" s="163" t="s">
        <v>225</v>
      </c>
      <c r="C340" s="142"/>
      <c r="D340" s="164">
        <v>0</v>
      </c>
      <c r="E340" s="179">
        <f>I340-D340</f>
        <v>0</v>
      </c>
      <c r="F340" s="164">
        <v>0</v>
      </c>
      <c r="G340" s="165">
        <f t="shared" si="13"/>
        <v>0</v>
      </c>
      <c r="H340" s="164"/>
      <c r="I340" s="179">
        <v>0</v>
      </c>
      <c r="J340" s="185">
        <v>0</v>
      </c>
      <c r="K340" s="180"/>
      <c r="L340" s="181"/>
      <c r="M340" s="249"/>
      <c r="N340" s="181"/>
      <c r="O340" s="181"/>
      <c r="P340" s="249"/>
      <c r="Q340" s="178"/>
    </row>
    <row r="341" spans="2:17" ht="12.75">
      <c r="B341" s="163" t="s">
        <v>36</v>
      </c>
      <c r="C341" s="142"/>
      <c r="D341" s="164">
        <v>0</v>
      </c>
      <c r="E341" s="179">
        <f>I341-D341</f>
        <v>0</v>
      </c>
      <c r="F341" s="164">
        <v>0</v>
      </c>
      <c r="G341" s="165">
        <f t="shared" si="13"/>
        <v>0</v>
      </c>
      <c r="H341" s="164"/>
      <c r="I341" s="179">
        <v>0</v>
      </c>
      <c r="J341" s="185">
        <v>0</v>
      </c>
      <c r="K341" s="180"/>
      <c r="L341" s="181"/>
      <c r="M341" s="249"/>
      <c r="N341" s="181"/>
      <c r="O341" s="181"/>
      <c r="P341" s="249"/>
      <c r="Q341" s="178"/>
    </row>
    <row r="342" spans="2:17" ht="12.75">
      <c r="B342" s="155" t="s">
        <v>32</v>
      </c>
      <c r="C342" s="142"/>
      <c r="D342" s="159">
        <v>1180</v>
      </c>
      <c r="E342" s="156">
        <f>I342-D342</f>
        <v>1267</v>
      </c>
      <c r="F342" s="159">
        <v>1480</v>
      </c>
      <c r="G342" s="165">
        <f t="shared" si="13"/>
        <v>2062</v>
      </c>
      <c r="H342" s="156"/>
      <c r="I342" s="159">
        <v>2447</v>
      </c>
      <c r="J342" s="160">
        <v>3542</v>
      </c>
      <c r="K342" s="148"/>
      <c r="L342" s="158"/>
      <c r="M342" s="232"/>
      <c r="N342" s="158"/>
      <c r="O342" s="158"/>
      <c r="P342" s="232"/>
      <c r="Q342" s="142"/>
    </row>
    <row r="343" spans="1:19" s="4" customFormat="1" ht="13.5" thickBot="1">
      <c r="A343" s="144"/>
      <c r="B343" s="161" t="s">
        <v>33</v>
      </c>
      <c r="C343" s="144"/>
      <c r="D343" s="166">
        <f>D337+D339+D340+D341+D342</f>
        <v>1180</v>
      </c>
      <c r="E343" s="166">
        <f>E337+E339+E340+E341+E342</f>
        <v>1267</v>
      </c>
      <c r="F343" s="166">
        <f>F337+F339+F340+F341+F342</f>
        <v>1480</v>
      </c>
      <c r="G343" s="186">
        <f t="shared" si="13"/>
        <v>2062</v>
      </c>
      <c r="H343" s="157"/>
      <c r="I343" s="166">
        <f>I337+I339+I340+I341+I342</f>
        <v>2447</v>
      </c>
      <c r="J343" s="167">
        <v>3542</v>
      </c>
      <c r="K343" s="153"/>
      <c r="L343" s="158">
        <v>20.4</v>
      </c>
      <c r="M343" s="232">
        <v>22.9</v>
      </c>
      <c r="N343" s="158"/>
      <c r="O343" s="158">
        <v>24.8</v>
      </c>
      <c r="P343" s="232">
        <v>21.9</v>
      </c>
      <c r="Q343" s="144"/>
      <c r="R343" s="144"/>
      <c r="S343" s="144"/>
    </row>
    <row r="344" spans="2:17" ht="13.5" thickTop="1">
      <c r="B344" s="142"/>
      <c r="C344" s="142"/>
      <c r="D344" s="156"/>
      <c r="E344" s="156"/>
      <c r="F344" s="156"/>
      <c r="G344" s="157"/>
      <c r="H344" s="156"/>
      <c r="I344" s="156"/>
      <c r="J344" s="157"/>
      <c r="K344" s="148"/>
      <c r="L344" s="158"/>
      <c r="M344" s="232"/>
      <c r="N344" s="158"/>
      <c r="O344" s="158"/>
      <c r="P344" s="232"/>
      <c r="Q344" s="142"/>
    </row>
    <row r="345" spans="2:17" ht="12.75">
      <c r="B345" s="161" t="s">
        <v>38</v>
      </c>
      <c r="C345" s="142"/>
      <c r="D345" s="179">
        <v>0</v>
      </c>
      <c r="E345" s="179">
        <v>0</v>
      </c>
      <c r="F345" s="179">
        <v>0</v>
      </c>
      <c r="G345" s="185">
        <v>0</v>
      </c>
      <c r="H345" s="179"/>
      <c r="I345" s="179">
        <v>0</v>
      </c>
      <c r="J345" s="185">
        <v>0</v>
      </c>
      <c r="K345" s="148"/>
      <c r="L345" s="158"/>
      <c r="M345" s="232"/>
      <c r="N345" s="158"/>
      <c r="O345" s="158"/>
      <c r="P345" s="232"/>
      <c r="Q345" s="142"/>
    </row>
    <row r="346" spans="2:17" ht="12.75">
      <c r="B346" s="163" t="s">
        <v>81</v>
      </c>
      <c r="C346" s="142"/>
      <c r="D346" s="164">
        <v>0</v>
      </c>
      <c r="E346" s="164">
        <v>0</v>
      </c>
      <c r="F346" s="164">
        <v>0</v>
      </c>
      <c r="G346" s="165">
        <v>0</v>
      </c>
      <c r="H346" s="164"/>
      <c r="I346" s="164">
        <v>0</v>
      </c>
      <c r="J346" s="165">
        <v>0</v>
      </c>
      <c r="K346" s="148"/>
      <c r="L346" s="158"/>
      <c r="M346" s="232"/>
      <c r="N346" s="158"/>
      <c r="O346" s="158"/>
      <c r="P346" s="232"/>
      <c r="Q346" s="142"/>
    </row>
    <row r="347" spans="2:17" ht="12.75">
      <c r="B347" s="142"/>
      <c r="C347" s="142"/>
      <c r="D347" s="156"/>
      <c r="E347" s="156"/>
      <c r="F347" s="156"/>
      <c r="G347" s="157"/>
      <c r="H347" s="156"/>
      <c r="I347" s="156"/>
      <c r="J347" s="157"/>
      <c r="K347" s="148"/>
      <c r="L347" s="158"/>
      <c r="M347" s="232"/>
      <c r="N347" s="158"/>
      <c r="O347" s="158"/>
      <c r="P347" s="232"/>
      <c r="Q347" s="142"/>
    </row>
    <row r="348" spans="2:17" ht="12.75">
      <c r="B348" s="163"/>
      <c r="C348" s="142"/>
      <c r="D348" s="164"/>
      <c r="E348" s="164"/>
      <c r="F348" s="164"/>
      <c r="G348" s="165"/>
      <c r="H348" s="164"/>
      <c r="I348" s="164"/>
      <c r="J348" s="165"/>
      <c r="K348" s="148"/>
      <c r="L348" s="158"/>
      <c r="M348" s="232"/>
      <c r="N348" s="158"/>
      <c r="O348" s="158"/>
      <c r="P348" s="232"/>
      <c r="Q348" s="142"/>
    </row>
    <row r="349" spans="2:17" ht="12.75">
      <c r="B349" s="142"/>
      <c r="C349" s="142"/>
      <c r="D349" s="164"/>
      <c r="E349" s="164"/>
      <c r="F349" s="164"/>
      <c r="G349" s="165"/>
      <c r="H349" s="164"/>
      <c r="I349" s="164"/>
      <c r="J349" s="165"/>
      <c r="K349" s="148"/>
      <c r="L349" s="158"/>
      <c r="M349" s="232"/>
      <c r="N349" s="158"/>
      <c r="O349" s="158"/>
      <c r="P349" s="232"/>
      <c r="Q349" s="142"/>
    </row>
    <row r="350" spans="1:17" ht="12.75">
      <c r="A350" s="144" t="s">
        <v>250</v>
      </c>
      <c r="B350" s="142"/>
      <c r="C350" s="142"/>
      <c r="D350" s="164"/>
      <c r="E350" s="164"/>
      <c r="F350" s="164"/>
      <c r="G350" s="165"/>
      <c r="H350" s="164"/>
      <c r="I350" s="164"/>
      <c r="J350" s="165"/>
      <c r="K350" s="148"/>
      <c r="L350" s="158"/>
      <c r="M350" s="232"/>
      <c r="N350" s="158"/>
      <c r="O350" s="158"/>
      <c r="P350" s="232"/>
      <c r="Q350" s="142"/>
    </row>
    <row r="351" spans="2:17" ht="12.75">
      <c r="B351" s="155" t="s">
        <v>104</v>
      </c>
      <c r="C351" s="142"/>
      <c r="D351" s="164">
        <v>0</v>
      </c>
      <c r="E351" s="164">
        <f>I351-D351</f>
        <v>0</v>
      </c>
      <c r="F351" s="164">
        <v>0</v>
      </c>
      <c r="G351" s="165">
        <f>J351-F351</f>
        <v>0</v>
      </c>
      <c r="H351" s="165"/>
      <c r="I351" s="164">
        <v>0</v>
      </c>
      <c r="J351" s="165">
        <v>0</v>
      </c>
      <c r="K351" s="148"/>
      <c r="L351" s="158"/>
      <c r="M351" s="232"/>
      <c r="N351" s="158"/>
      <c r="O351" s="158"/>
      <c r="P351" s="232"/>
      <c r="Q351" s="142"/>
    </row>
    <row r="352" spans="2:17" ht="12.75">
      <c r="B352" s="155" t="s">
        <v>23</v>
      </c>
      <c r="C352" s="142"/>
      <c r="D352" s="164">
        <v>0</v>
      </c>
      <c r="E352" s="164">
        <f>I352-D352</f>
        <v>0</v>
      </c>
      <c r="F352" s="164">
        <v>0</v>
      </c>
      <c r="G352" s="165">
        <f aca="true" t="shared" si="14" ref="G352:G366">J352-F352</f>
        <v>0</v>
      </c>
      <c r="H352" s="165"/>
      <c r="I352" s="164">
        <v>0</v>
      </c>
      <c r="J352" s="165">
        <v>0</v>
      </c>
      <c r="K352" s="148"/>
      <c r="L352" s="158"/>
      <c r="M352" s="232"/>
      <c r="N352" s="158"/>
      <c r="O352" s="158"/>
      <c r="P352" s="232"/>
      <c r="Q352" s="142"/>
    </row>
    <row r="353" spans="2:17" ht="12.75">
      <c r="B353" s="155" t="s">
        <v>21</v>
      </c>
      <c r="C353" s="142"/>
      <c r="D353" s="164">
        <v>0</v>
      </c>
      <c r="E353" s="164">
        <f>I353-D353</f>
        <v>0</v>
      </c>
      <c r="F353" s="164">
        <v>0</v>
      </c>
      <c r="G353" s="165">
        <f t="shared" si="14"/>
        <v>0</v>
      </c>
      <c r="H353" s="165"/>
      <c r="I353" s="164">
        <v>0</v>
      </c>
      <c r="J353" s="165">
        <v>0</v>
      </c>
      <c r="K353" s="148"/>
      <c r="L353" s="158"/>
      <c r="M353" s="232"/>
      <c r="N353" s="158"/>
      <c r="O353" s="158"/>
      <c r="P353" s="232"/>
      <c r="Q353" s="142"/>
    </row>
    <row r="354" spans="2:17" ht="12.75">
      <c r="B354" s="155" t="s">
        <v>105</v>
      </c>
      <c r="C354" s="142"/>
      <c r="D354" s="164">
        <v>0</v>
      </c>
      <c r="E354" s="164">
        <f>I354-D354</f>
        <v>0</v>
      </c>
      <c r="F354" s="164">
        <v>0</v>
      </c>
      <c r="G354" s="165">
        <f t="shared" si="14"/>
        <v>0</v>
      </c>
      <c r="H354" s="165"/>
      <c r="I354" s="164">
        <v>0</v>
      </c>
      <c r="J354" s="165">
        <v>0</v>
      </c>
      <c r="K354" s="148"/>
      <c r="L354" s="158"/>
      <c r="M354" s="232"/>
      <c r="N354" s="158"/>
      <c r="O354" s="158"/>
      <c r="P354" s="232"/>
      <c r="Q354" s="142"/>
    </row>
    <row r="355" spans="2:17" ht="12.75">
      <c r="B355" s="155" t="s">
        <v>24</v>
      </c>
      <c r="C355" s="142"/>
      <c r="D355" s="176">
        <v>0</v>
      </c>
      <c r="E355" s="176">
        <f>I355-D355</f>
        <v>0</v>
      </c>
      <c r="F355" s="176">
        <v>0</v>
      </c>
      <c r="G355" s="177">
        <f t="shared" si="14"/>
        <v>0</v>
      </c>
      <c r="H355" s="165"/>
      <c r="I355" s="176">
        <v>0</v>
      </c>
      <c r="J355" s="177">
        <v>0</v>
      </c>
      <c r="K355" s="148"/>
      <c r="L355" s="158"/>
      <c r="M355" s="232"/>
      <c r="N355" s="158"/>
      <c r="O355" s="158"/>
      <c r="P355" s="232"/>
      <c r="Q355" s="142"/>
    </row>
    <row r="356" spans="1:19" s="4" customFormat="1" ht="12.75">
      <c r="A356" s="144"/>
      <c r="B356" s="161" t="s">
        <v>84</v>
      </c>
      <c r="C356" s="144"/>
      <c r="D356" s="164">
        <f>SUM(D351:D355)</f>
        <v>0</v>
      </c>
      <c r="E356" s="164">
        <f>SUM(E351:E355)</f>
        <v>0</v>
      </c>
      <c r="F356" s="164">
        <f>SUM(F351:F355)</f>
        <v>0</v>
      </c>
      <c r="G356" s="165">
        <f t="shared" si="14"/>
        <v>0</v>
      </c>
      <c r="H356" s="165"/>
      <c r="I356" s="164">
        <f>SUM(I351:I355)</f>
        <v>0</v>
      </c>
      <c r="J356" s="165">
        <v>0</v>
      </c>
      <c r="K356" s="153"/>
      <c r="L356" s="181"/>
      <c r="M356" s="249"/>
      <c r="N356" s="158"/>
      <c r="O356" s="158"/>
      <c r="P356" s="232"/>
      <c r="Q356" s="144"/>
      <c r="R356" s="144"/>
      <c r="S356" s="144"/>
    </row>
    <row r="357" spans="2:17" ht="12.75">
      <c r="B357" s="155" t="s">
        <v>161</v>
      </c>
      <c r="C357" s="142"/>
      <c r="D357" s="159">
        <v>80</v>
      </c>
      <c r="E357" s="159">
        <f>I357-D357</f>
        <v>90</v>
      </c>
      <c r="F357" s="159">
        <v>93</v>
      </c>
      <c r="G357" s="177">
        <f t="shared" si="14"/>
        <v>123</v>
      </c>
      <c r="H357" s="156"/>
      <c r="I357" s="159">
        <v>170</v>
      </c>
      <c r="J357" s="160">
        <v>216</v>
      </c>
      <c r="K357" s="148"/>
      <c r="L357" s="158"/>
      <c r="M357" s="232"/>
      <c r="N357" s="158"/>
      <c r="O357" s="158"/>
      <c r="P357" s="232"/>
      <c r="Q357" s="142"/>
    </row>
    <row r="358" spans="1:19" s="4" customFormat="1" ht="12.75">
      <c r="A358" s="144"/>
      <c r="B358" s="161" t="s">
        <v>65</v>
      </c>
      <c r="C358" s="144"/>
      <c r="D358" s="156">
        <f>SUM(D356:D357)</f>
        <v>80</v>
      </c>
      <c r="E358" s="156">
        <f>SUM(E356:E357)</f>
        <v>90</v>
      </c>
      <c r="F358" s="156">
        <f>SUM(F356:F357)</f>
        <v>93</v>
      </c>
      <c r="G358" s="165">
        <f t="shared" si="14"/>
        <v>123</v>
      </c>
      <c r="H358" s="157"/>
      <c r="I358" s="156">
        <f>SUM(I356:I357)</f>
        <v>170</v>
      </c>
      <c r="J358" s="157">
        <v>216</v>
      </c>
      <c r="K358" s="153"/>
      <c r="L358" s="158"/>
      <c r="M358" s="232"/>
      <c r="N358" s="158"/>
      <c r="O358" s="158"/>
      <c r="P358" s="232"/>
      <c r="Q358" s="144"/>
      <c r="R358" s="144"/>
      <c r="S358" s="144"/>
    </row>
    <row r="359" spans="2:17" ht="12.75">
      <c r="B359" s="155" t="s">
        <v>166</v>
      </c>
      <c r="C359" s="142"/>
      <c r="D359" s="156">
        <v>59</v>
      </c>
      <c r="E359" s="156">
        <f>I359-D359</f>
        <v>17</v>
      </c>
      <c r="F359" s="156">
        <v>-4</v>
      </c>
      <c r="G359" s="157">
        <f t="shared" si="14"/>
        <v>-7</v>
      </c>
      <c r="H359" s="156"/>
      <c r="I359" s="156">
        <v>76</v>
      </c>
      <c r="J359" s="157">
        <v>-11</v>
      </c>
      <c r="K359" s="148"/>
      <c r="L359" s="158"/>
      <c r="M359" s="232"/>
      <c r="N359" s="158"/>
      <c r="O359" s="158"/>
      <c r="P359" s="232"/>
      <c r="Q359" s="142"/>
    </row>
    <row r="360" spans="2:17" ht="12.75">
      <c r="B360" s="155" t="s">
        <v>167</v>
      </c>
      <c r="C360" s="142"/>
      <c r="D360" s="156">
        <v>-94</v>
      </c>
      <c r="E360" s="156">
        <f>I360-D360</f>
        <v>-129</v>
      </c>
      <c r="F360" s="156">
        <v>-116</v>
      </c>
      <c r="G360" s="157">
        <f t="shared" si="14"/>
        <v>-146</v>
      </c>
      <c r="H360" s="164"/>
      <c r="I360" s="156">
        <v>-223</v>
      </c>
      <c r="J360" s="157">
        <v>-262</v>
      </c>
      <c r="K360" s="148"/>
      <c r="L360" s="158"/>
      <c r="M360" s="232"/>
      <c r="N360" s="158"/>
      <c r="O360" s="158"/>
      <c r="P360" s="232"/>
      <c r="Q360" s="142"/>
    </row>
    <row r="361" spans="2:17" ht="4.5" customHeight="1">
      <c r="B361" s="155"/>
      <c r="C361" s="142"/>
      <c r="D361" s="156"/>
      <c r="E361" s="156"/>
      <c r="F361" s="156"/>
      <c r="G361" s="177">
        <f t="shared" si="14"/>
        <v>0</v>
      </c>
      <c r="H361" s="164"/>
      <c r="I361" s="156"/>
      <c r="J361" s="157"/>
      <c r="K361" s="148"/>
      <c r="L361" s="158"/>
      <c r="M361" s="232"/>
      <c r="N361" s="158"/>
      <c r="O361" s="158"/>
      <c r="P361" s="232"/>
      <c r="Q361" s="142"/>
    </row>
    <row r="362" spans="2:17" ht="12.75">
      <c r="B362" s="170" t="s">
        <v>182</v>
      </c>
      <c r="C362" s="171"/>
      <c r="D362" s="219">
        <v>0</v>
      </c>
      <c r="E362" s="219">
        <f>I362-D362</f>
        <v>0</v>
      </c>
      <c r="F362" s="219">
        <v>0</v>
      </c>
      <c r="G362" s="165">
        <f t="shared" si="14"/>
        <v>0</v>
      </c>
      <c r="H362" s="172"/>
      <c r="I362" s="219">
        <v>0</v>
      </c>
      <c r="J362" s="231">
        <v>0</v>
      </c>
      <c r="K362" s="148"/>
      <c r="L362" s="158"/>
      <c r="M362" s="232"/>
      <c r="N362" s="158"/>
      <c r="O362" s="158"/>
      <c r="P362" s="232"/>
      <c r="Q362" s="142"/>
    </row>
    <row r="363" spans="2:17" ht="12.75">
      <c r="B363" s="173" t="s">
        <v>183</v>
      </c>
      <c r="C363" s="174"/>
      <c r="D363" s="159">
        <v>-94</v>
      </c>
      <c r="E363" s="159">
        <f>I363-D363</f>
        <v>-129</v>
      </c>
      <c r="F363" s="159">
        <v>-116</v>
      </c>
      <c r="G363" s="160">
        <f t="shared" si="14"/>
        <v>-146</v>
      </c>
      <c r="H363" s="159"/>
      <c r="I363" s="159">
        <v>-223</v>
      </c>
      <c r="J363" s="228">
        <v>-262</v>
      </c>
      <c r="K363" s="148"/>
      <c r="L363" s="158"/>
      <c r="M363" s="232"/>
      <c r="N363" s="158"/>
      <c r="O363" s="158"/>
      <c r="P363" s="232"/>
      <c r="Q363" s="142"/>
    </row>
    <row r="364" spans="2:17" ht="4.5" customHeight="1">
      <c r="B364" s="155"/>
      <c r="C364" s="142"/>
      <c r="D364" s="156"/>
      <c r="E364" s="156"/>
      <c r="F364" s="156"/>
      <c r="G364" s="165">
        <f t="shared" si="14"/>
        <v>0</v>
      </c>
      <c r="H364" s="164"/>
      <c r="I364" s="156"/>
      <c r="J364" s="157"/>
      <c r="K364" s="148"/>
      <c r="L364" s="158"/>
      <c r="M364" s="232"/>
      <c r="N364" s="158"/>
      <c r="O364" s="158"/>
      <c r="P364" s="232"/>
      <c r="Q364" s="142"/>
    </row>
    <row r="365" spans="2:17" ht="12.75">
      <c r="B365" s="155" t="s">
        <v>28</v>
      </c>
      <c r="C365" s="142"/>
      <c r="D365" s="159">
        <v>258</v>
      </c>
      <c r="E365" s="159">
        <f>I365-D365</f>
        <v>62</v>
      </c>
      <c r="F365" s="159">
        <v>327</v>
      </c>
      <c r="G365" s="177">
        <f t="shared" si="14"/>
        <v>369</v>
      </c>
      <c r="H365" s="156"/>
      <c r="I365" s="159">
        <v>320</v>
      </c>
      <c r="J365" s="160">
        <v>696</v>
      </c>
      <c r="K365" s="148"/>
      <c r="L365" s="158"/>
      <c r="M365" s="232"/>
      <c r="N365" s="158"/>
      <c r="O365" s="158"/>
      <c r="P365" s="232"/>
      <c r="Q365" s="142"/>
    </row>
    <row r="366" spans="1:19" s="4" customFormat="1" ht="12.75">
      <c r="A366" s="144"/>
      <c r="B366" s="161" t="s">
        <v>22</v>
      </c>
      <c r="C366" s="144"/>
      <c r="D366" s="156">
        <f>SUM(D358:D365)-D363-D362</f>
        <v>303</v>
      </c>
      <c r="E366" s="156">
        <f>SUM(E358:E365)-E362-E363</f>
        <v>40</v>
      </c>
      <c r="F366" s="156">
        <f>SUM(F358:F365)-F362-F363</f>
        <v>300</v>
      </c>
      <c r="G366" s="165">
        <f t="shared" si="14"/>
        <v>339</v>
      </c>
      <c r="H366" s="157"/>
      <c r="I366" s="156">
        <f>SUM(I358:I365)-I363-I362</f>
        <v>343</v>
      </c>
      <c r="J366" s="157">
        <v>639</v>
      </c>
      <c r="K366" s="153"/>
      <c r="L366" s="158"/>
      <c r="M366" s="232"/>
      <c r="N366" s="158"/>
      <c r="O366" s="158"/>
      <c r="P366" s="232"/>
      <c r="Q366" s="144"/>
      <c r="R366" s="144"/>
      <c r="S366" s="144"/>
    </row>
    <row r="367" spans="1:19" s="4" customFormat="1" ht="12.75">
      <c r="A367" s="144"/>
      <c r="B367" s="155" t="s">
        <v>180</v>
      </c>
      <c r="C367" s="144"/>
      <c r="D367" s="156"/>
      <c r="E367" s="156"/>
      <c r="F367" s="156"/>
      <c r="G367" s="157"/>
      <c r="H367" s="157"/>
      <c r="I367" s="156"/>
      <c r="J367" s="157"/>
      <c r="K367" s="153"/>
      <c r="L367" s="158"/>
      <c r="M367" s="232"/>
      <c r="N367" s="158"/>
      <c r="O367" s="158"/>
      <c r="P367" s="232"/>
      <c r="Q367" s="144"/>
      <c r="R367" s="144"/>
      <c r="S367" s="144"/>
    </row>
    <row r="368" spans="2:17" ht="12.75">
      <c r="B368" s="163" t="s">
        <v>181</v>
      </c>
      <c r="C368" s="142"/>
      <c r="D368" s="164">
        <v>0</v>
      </c>
      <c r="E368" s="164">
        <f>I368-D368</f>
        <v>0</v>
      </c>
      <c r="F368" s="164">
        <v>0</v>
      </c>
      <c r="G368" s="165">
        <f>J368-F368</f>
        <v>0</v>
      </c>
      <c r="H368" s="164"/>
      <c r="I368" s="164">
        <v>0</v>
      </c>
      <c r="J368" s="165">
        <v>0</v>
      </c>
      <c r="K368" s="148"/>
      <c r="L368" s="158"/>
      <c r="M368" s="232"/>
      <c r="N368" s="158"/>
      <c r="O368" s="158"/>
      <c r="P368" s="232"/>
      <c r="Q368" s="142"/>
    </row>
    <row r="369" spans="2:17" ht="12.75">
      <c r="B369" s="163" t="s">
        <v>225</v>
      </c>
      <c r="C369" s="142"/>
      <c r="D369" s="164">
        <v>0</v>
      </c>
      <c r="E369" s="164">
        <f>I369-D369</f>
        <v>0</v>
      </c>
      <c r="F369" s="164">
        <v>0</v>
      </c>
      <c r="G369" s="157">
        <f>J369-F369</f>
        <v>-1</v>
      </c>
      <c r="H369" s="164"/>
      <c r="I369" s="164">
        <v>0</v>
      </c>
      <c r="J369" s="157">
        <v>-1</v>
      </c>
      <c r="K369" s="148"/>
      <c r="L369" s="158"/>
      <c r="M369" s="232"/>
      <c r="N369" s="158"/>
      <c r="O369" s="158"/>
      <c r="P369" s="232"/>
      <c r="Q369" s="142"/>
    </row>
    <row r="370" spans="2:17" ht="12.75">
      <c r="B370" s="163" t="s">
        <v>36</v>
      </c>
      <c r="C370" s="142"/>
      <c r="D370" s="156">
        <v>-94</v>
      </c>
      <c r="E370" s="156">
        <f>I370-D370</f>
        <v>-111</v>
      </c>
      <c r="F370" s="156">
        <v>-110</v>
      </c>
      <c r="G370" s="157">
        <f>J370-F370</f>
        <v>-120</v>
      </c>
      <c r="H370" s="156"/>
      <c r="I370" s="156">
        <v>-205</v>
      </c>
      <c r="J370" s="157">
        <v>-230</v>
      </c>
      <c r="K370" s="148"/>
      <c r="L370" s="158"/>
      <c r="M370" s="232"/>
      <c r="N370" s="158"/>
      <c r="O370" s="158"/>
      <c r="P370" s="232"/>
      <c r="Q370" s="142"/>
    </row>
    <row r="371" spans="2:17" ht="12.75">
      <c r="B371" s="155" t="s">
        <v>32</v>
      </c>
      <c r="C371" s="142"/>
      <c r="D371" s="159">
        <v>1</v>
      </c>
      <c r="E371" s="156">
        <f>I371-D371</f>
        <v>1</v>
      </c>
      <c r="F371" s="176">
        <v>0</v>
      </c>
      <c r="G371" s="160">
        <f>J371-F371</f>
        <v>-1</v>
      </c>
      <c r="H371" s="156"/>
      <c r="I371" s="159">
        <v>2</v>
      </c>
      <c r="J371" s="160">
        <v>-1</v>
      </c>
      <c r="K371" s="148"/>
      <c r="L371" s="158"/>
      <c r="M371" s="232"/>
      <c r="N371" s="158"/>
      <c r="O371" s="158"/>
      <c r="P371" s="232"/>
      <c r="Q371" s="142"/>
    </row>
    <row r="372" spans="1:19" s="4" customFormat="1" ht="13.5" thickBot="1">
      <c r="A372" s="144"/>
      <c r="B372" s="161" t="s">
        <v>33</v>
      </c>
      <c r="C372" s="144"/>
      <c r="D372" s="166">
        <f>D366+D368+D369+D370+D371</f>
        <v>210</v>
      </c>
      <c r="E372" s="166">
        <f>E366+E368+E369+E370+E371</f>
        <v>-70</v>
      </c>
      <c r="F372" s="166">
        <f>F366+F368+F369+F370+F371</f>
        <v>190</v>
      </c>
      <c r="G372" s="186">
        <f>J372-F372</f>
        <v>217</v>
      </c>
      <c r="H372" s="157"/>
      <c r="I372" s="166">
        <f>I366+I368+I369+I370+I371</f>
        <v>140</v>
      </c>
      <c r="J372" s="167">
        <v>407</v>
      </c>
      <c r="K372" s="153"/>
      <c r="L372" s="158"/>
      <c r="M372" s="232"/>
      <c r="N372" s="158"/>
      <c r="O372" s="158"/>
      <c r="P372" s="232"/>
      <c r="Q372" s="144"/>
      <c r="R372" s="144"/>
      <c r="S372" s="144"/>
    </row>
    <row r="373" spans="2:17" ht="13.5" thickTop="1">
      <c r="B373" s="142"/>
      <c r="C373" s="142"/>
      <c r="D373" s="156"/>
      <c r="E373" s="156"/>
      <c r="F373" s="156"/>
      <c r="G373" s="157"/>
      <c r="H373" s="156"/>
      <c r="I373" s="156"/>
      <c r="J373" s="157"/>
      <c r="K373" s="148"/>
      <c r="L373" s="154"/>
      <c r="M373" s="42"/>
      <c r="N373" s="154"/>
      <c r="O373" s="154"/>
      <c r="P373" s="42"/>
      <c r="Q373" s="142"/>
    </row>
    <row r="374" spans="2:17" ht="12.75">
      <c r="B374" s="161" t="s">
        <v>38</v>
      </c>
      <c r="C374" s="142"/>
      <c r="D374" s="152" t="s">
        <v>216</v>
      </c>
      <c r="E374" s="154">
        <f>E366/E358</f>
        <v>0.4444444444444444</v>
      </c>
      <c r="F374" s="152" t="s">
        <v>216</v>
      </c>
      <c r="G374" s="283" t="s">
        <v>216</v>
      </c>
      <c r="H374" s="154"/>
      <c r="I374" s="152" t="s">
        <v>216</v>
      </c>
      <c r="J374" s="283" t="s">
        <v>216</v>
      </c>
      <c r="K374" s="148"/>
      <c r="L374" s="158"/>
      <c r="M374" s="232"/>
      <c r="N374" s="158"/>
      <c r="O374" s="158"/>
      <c r="P374" s="232"/>
      <c r="Q374" s="142"/>
    </row>
    <row r="375" spans="2:17" ht="12.75">
      <c r="B375" s="163" t="s">
        <v>81</v>
      </c>
      <c r="C375" s="142"/>
      <c r="D375" s="156">
        <v>70</v>
      </c>
      <c r="E375" s="156">
        <f>I375-D375</f>
        <v>115</v>
      </c>
      <c r="F375" s="156">
        <v>95</v>
      </c>
      <c r="G375" s="157">
        <f>J375-F375</f>
        <v>217</v>
      </c>
      <c r="H375" s="156"/>
      <c r="I375" s="156">
        <v>185</v>
      </c>
      <c r="J375" s="157">
        <v>312</v>
      </c>
      <c r="K375" s="148"/>
      <c r="L375" s="154"/>
      <c r="M375" s="42"/>
      <c r="N375" s="154"/>
      <c r="O375" s="154"/>
      <c r="P375" s="42"/>
      <c r="Q375" s="142"/>
    </row>
    <row r="376" spans="2:17" ht="12.75">
      <c r="B376" s="163"/>
      <c r="C376" s="142"/>
      <c r="D376" s="154"/>
      <c r="E376" s="154"/>
      <c r="F376" s="154"/>
      <c r="G376" s="168"/>
      <c r="H376" s="154"/>
      <c r="I376" s="154"/>
      <c r="J376" s="168"/>
      <c r="K376" s="148"/>
      <c r="L376" s="154"/>
      <c r="M376" s="42"/>
      <c r="N376" s="154"/>
      <c r="O376" s="154"/>
      <c r="P376" s="42"/>
      <c r="Q376" s="142"/>
    </row>
    <row r="377" spans="2:17" ht="12.75">
      <c r="B377" s="163"/>
      <c r="C377" s="142"/>
      <c r="D377" s="154"/>
      <c r="E377" s="154"/>
      <c r="F377" s="154"/>
      <c r="G377" s="168"/>
      <c r="H377" s="154"/>
      <c r="I377" s="154"/>
      <c r="J377" s="168"/>
      <c r="K377" s="148"/>
      <c r="L377" s="154"/>
      <c r="M377" s="42"/>
      <c r="N377" s="154"/>
      <c r="O377" s="154"/>
      <c r="P377" s="42"/>
      <c r="Q377" s="142"/>
    </row>
    <row r="378" spans="1:17" ht="12.75">
      <c r="A378" s="142" t="s">
        <v>96</v>
      </c>
      <c r="B378" s="163"/>
      <c r="C378" s="142"/>
      <c r="D378" s="154"/>
      <c r="E378" s="154"/>
      <c r="F378" s="154"/>
      <c r="G378" s="168"/>
      <c r="H378" s="154"/>
      <c r="I378" s="154"/>
      <c r="J378" s="168"/>
      <c r="K378" s="148"/>
      <c r="L378" s="154"/>
      <c r="M378" s="42"/>
      <c r="N378" s="154"/>
      <c r="O378" s="154"/>
      <c r="P378" s="42"/>
      <c r="Q378" s="142"/>
    </row>
    <row r="379" spans="1:18" ht="12.75" customHeight="1">
      <c r="A379" s="187" t="s">
        <v>99</v>
      </c>
      <c r="B379" s="330" t="s">
        <v>278</v>
      </c>
      <c r="C379" s="330"/>
      <c r="D379" s="330"/>
      <c r="E379" s="330"/>
      <c r="F379" s="330"/>
      <c r="G379" s="330"/>
      <c r="H379" s="330"/>
      <c r="I379" s="330"/>
      <c r="J379" s="330"/>
      <c r="K379" s="330"/>
      <c r="L379" s="330"/>
      <c r="M379" s="330"/>
      <c r="N379" s="330"/>
      <c r="O379" s="330"/>
      <c r="P379" s="330"/>
      <c r="Q379" s="330"/>
      <c r="R379" s="330"/>
    </row>
    <row r="380" spans="1:18" ht="12.75">
      <c r="A380" s="187"/>
      <c r="B380" s="330"/>
      <c r="C380" s="330"/>
      <c r="D380" s="330"/>
      <c r="E380" s="330"/>
      <c r="F380" s="330"/>
      <c r="G380" s="330"/>
      <c r="H380" s="330"/>
      <c r="I380" s="330"/>
      <c r="J380" s="330"/>
      <c r="K380" s="330"/>
      <c r="L380" s="330"/>
      <c r="M380" s="330"/>
      <c r="N380" s="330"/>
      <c r="O380" s="330"/>
      <c r="P380" s="330"/>
      <c r="Q380" s="330"/>
      <c r="R380" s="330"/>
    </row>
    <row r="381" spans="1:17" ht="12.75">
      <c r="A381" s="188"/>
      <c r="B381" s="142"/>
      <c r="C381" s="142"/>
      <c r="D381" s="148"/>
      <c r="E381" s="148"/>
      <c r="F381" s="148"/>
      <c r="G381" s="153"/>
      <c r="I381" s="148"/>
      <c r="J381" s="153"/>
      <c r="K381" s="148"/>
      <c r="L381" s="154"/>
      <c r="M381" s="42"/>
      <c r="N381" s="154"/>
      <c r="O381" s="154"/>
      <c r="P381" s="42"/>
      <c r="Q381" s="142"/>
    </row>
    <row r="382" spans="2:17" ht="12.75">
      <c r="B382" s="142"/>
      <c r="C382" s="142"/>
      <c r="D382" s="148"/>
      <c r="E382" s="148"/>
      <c r="F382" s="148"/>
      <c r="G382" s="153"/>
      <c r="I382" s="148"/>
      <c r="J382" s="153"/>
      <c r="K382" s="148"/>
      <c r="L382" s="154"/>
      <c r="M382" s="42"/>
      <c r="N382" s="154"/>
      <c r="O382" s="154"/>
      <c r="P382" s="42"/>
      <c r="Q382" s="142"/>
    </row>
    <row r="383" spans="1:18" ht="12.75">
      <c r="A383" s="188"/>
      <c r="B383" s="149"/>
      <c r="C383" s="142"/>
      <c r="D383" s="148"/>
      <c r="E383" s="148"/>
      <c r="F383" s="148"/>
      <c r="G383" s="148"/>
      <c r="H383" s="153"/>
      <c r="I383" s="148"/>
      <c r="J383" s="153"/>
      <c r="K383" s="148"/>
      <c r="L383" s="148"/>
      <c r="M383" s="37"/>
      <c r="N383" s="154"/>
      <c r="O383" s="154"/>
      <c r="P383" s="42"/>
      <c r="Q383" s="154"/>
      <c r="R383" s="154"/>
    </row>
    <row r="384" spans="1:18" ht="12.75">
      <c r="A384" s="189"/>
      <c r="B384" s="142"/>
      <c r="C384" s="142"/>
      <c r="D384" s="148"/>
      <c r="E384" s="148"/>
      <c r="F384" s="148"/>
      <c r="G384" s="148"/>
      <c r="H384" s="153"/>
      <c r="I384" s="148"/>
      <c r="J384" s="153"/>
      <c r="K384" s="148"/>
      <c r="L384" s="148"/>
      <c r="M384" s="37"/>
      <c r="N384" s="154"/>
      <c r="O384" s="154"/>
      <c r="P384" s="42"/>
      <c r="Q384" s="154"/>
      <c r="R384" s="154"/>
    </row>
    <row r="385" spans="2:17" ht="12.75">
      <c r="B385" s="142"/>
      <c r="C385" s="142"/>
      <c r="D385" s="148"/>
      <c r="E385" s="148"/>
      <c r="F385" s="148"/>
      <c r="G385" s="153"/>
      <c r="I385" s="148"/>
      <c r="J385" s="153"/>
      <c r="K385" s="148"/>
      <c r="L385" s="154"/>
      <c r="M385" s="42"/>
      <c r="N385" s="154"/>
      <c r="O385" s="154"/>
      <c r="P385" s="42"/>
      <c r="Q385" s="142"/>
    </row>
    <row r="386" ht="12.75">
      <c r="M386" s="250"/>
    </row>
    <row r="387" spans="3:18" ht="12.75">
      <c r="C387" s="142"/>
      <c r="D387" s="148"/>
      <c r="E387" s="148"/>
      <c r="F387" s="148"/>
      <c r="G387" s="148"/>
      <c r="H387" s="153"/>
      <c r="I387" s="148"/>
      <c r="J387" s="153"/>
      <c r="K387" s="148"/>
      <c r="L387" s="148"/>
      <c r="M387" s="37"/>
      <c r="N387" s="154"/>
      <c r="O387" s="154"/>
      <c r="P387" s="42"/>
      <c r="Q387" s="154"/>
      <c r="R387" s="154"/>
    </row>
    <row r="388" spans="3:17" ht="12.75">
      <c r="C388" s="142"/>
      <c r="D388" s="148"/>
      <c r="E388" s="148"/>
      <c r="F388" s="148"/>
      <c r="G388" s="153"/>
      <c r="I388" s="148"/>
      <c r="J388" s="153"/>
      <c r="K388" s="148"/>
      <c r="L388" s="154"/>
      <c r="M388" s="42"/>
      <c r="N388" s="154"/>
      <c r="O388" s="154"/>
      <c r="P388" s="42"/>
      <c r="Q388" s="142"/>
    </row>
  </sheetData>
  <mergeCells count="3">
    <mergeCell ref="D1:I1"/>
    <mergeCell ref="L1:P1"/>
    <mergeCell ref="B379:R380"/>
  </mergeCells>
  <printOptions/>
  <pageMargins left="0.7480314960629921" right="0.7480314960629921" top="0.984251968503937" bottom="0.984251968503937" header="0.5118110236220472" footer="0.5118110236220472"/>
  <pageSetup fitToHeight="5" horizontalDpi="600" verticalDpi="600" orientation="portrait" paperSize="9" scale="53" r:id="rId1"/>
  <headerFooter alignWithMargins="0">
    <oddHeader>&amp;L&amp;"Vodafone Rg,Regular"Vodafone Group Plc&amp;C&amp;"Vodafone Rg,Regular"&amp;A</oddHeader>
  </headerFooter>
  <rowBreaks count="4" manualBreakCount="4">
    <brk id="82" max="18" man="1"/>
    <brk id="152" max="18" man="1"/>
    <brk id="226" max="18" man="1"/>
    <brk id="300" max="18"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K72"/>
  <sheetViews>
    <sheetView showGridLines="0" view="pageBreakPreview" zoomScaleSheetLayoutView="100" workbookViewId="0" topLeftCell="A1">
      <pane xSplit="2" ySplit="3" topLeftCell="C4" activePane="bottomRight" state="frozen"/>
      <selection pane="topLeft" activeCell="B55" sqref="B55:J61"/>
      <selection pane="topRight" activeCell="B55" sqref="B55:J61"/>
      <selection pane="bottomLeft" activeCell="B55" sqref="B55:J61"/>
      <selection pane="bottomRight" activeCell="A1" sqref="A1"/>
    </sheetView>
  </sheetViews>
  <sheetFormatPr defaultColWidth="9.140625" defaultRowHeight="12.75"/>
  <cols>
    <col min="1" max="1" width="3.7109375" style="9" customWidth="1"/>
    <col min="2" max="2" width="66.421875" style="12" bestFit="1" customWidth="1"/>
    <col min="3" max="3" width="3.7109375" style="9" customWidth="1"/>
    <col min="4" max="5" width="8.7109375" style="10" customWidth="1"/>
    <col min="6" max="6" width="8.7109375" style="5" customWidth="1"/>
    <col min="7" max="7" width="8.7109375" style="4" customWidth="1"/>
    <col min="8" max="8" width="3.7109375" style="10" customWidth="1"/>
    <col min="9" max="9" width="8.7109375" style="10" customWidth="1"/>
    <col min="10" max="10" width="8.7109375" style="41" customWidth="1"/>
    <col min="11" max="11" width="3.7109375" style="10" customWidth="1"/>
    <col min="12" max="12" width="9.140625" style="9" customWidth="1"/>
    <col min="13" max="16384" width="9.140625" style="10" customWidth="1"/>
  </cols>
  <sheetData>
    <row r="1" spans="1:11" ht="12.75">
      <c r="A1" s="46"/>
      <c r="D1" s="9"/>
      <c r="E1" s="9"/>
      <c r="F1" s="142"/>
      <c r="G1" s="144"/>
      <c r="H1" s="9"/>
      <c r="I1" s="9"/>
      <c r="J1" s="14"/>
      <c r="K1" s="9"/>
    </row>
    <row r="2" spans="2:11" ht="12.75">
      <c r="B2" s="9"/>
      <c r="D2" s="13" t="s">
        <v>154</v>
      </c>
      <c r="E2" s="13" t="s">
        <v>155</v>
      </c>
      <c r="F2" s="6" t="s">
        <v>165</v>
      </c>
      <c r="G2" s="143" t="s">
        <v>196</v>
      </c>
      <c r="H2" s="13"/>
      <c r="I2" s="13" t="s">
        <v>156</v>
      </c>
      <c r="J2" s="48" t="s">
        <v>197</v>
      </c>
      <c r="K2" s="9"/>
    </row>
    <row r="3" spans="2:11" ht="15">
      <c r="B3" s="34"/>
      <c r="D3" s="13" t="s">
        <v>80</v>
      </c>
      <c r="E3" s="13" t="s">
        <v>80</v>
      </c>
      <c r="F3" s="6" t="s">
        <v>80</v>
      </c>
      <c r="G3" s="143" t="s">
        <v>80</v>
      </c>
      <c r="H3" s="13"/>
      <c r="I3" s="13" t="s">
        <v>80</v>
      </c>
      <c r="J3" s="48" t="s">
        <v>80</v>
      </c>
      <c r="K3" s="9"/>
    </row>
    <row r="4" spans="2:11" ht="12.75">
      <c r="B4" s="46"/>
      <c r="D4" s="35"/>
      <c r="E4" s="35"/>
      <c r="F4" s="148"/>
      <c r="G4" s="153"/>
      <c r="H4" s="35"/>
      <c r="I4" s="35"/>
      <c r="J4" s="37"/>
      <c r="K4" s="9"/>
    </row>
    <row r="5" spans="1:11" ht="13.5" thickBot="1">
      <c r="A5" s="12" t="s">
        <v>85</v>
      </c>
      <c r="D5" s="49">
        <v>16994</v>
      </c>
      <c r="E5" s="49">
        <f>I5-D5</f>
        <v>18484</v>
      </c>
      <c r="F5" s="233">
        <v>19902</v>
      </c>
      <c r="G5" s="193">
        <f>J5-F5</f>
        <v>21115</v>
      </c>
      <c r="H5" s="35"/>
      <c r="I5" s="49">
        <f>35478</f>
        <v>35478</v>
      </c>
      <c r="J5" s="236">
        <v>41017</v>
      </c>
      <c r="K5" s="9"/>
    </row>
    <row r="6" spans="1:11" ht="13.5" thickTop="1">
      <c r="A6" s="12"/>
      <c r="D6" s="35"/>
      <c r="E6" s="35"/>
      <c r="F6" s="148"/>
      <c r="G6" s="153"/>
      <c r="H6" s="35"/>
      <c r="I6" s="35"/>
      <c r="J6" s="37"/>
      <c r="K6" s="9"/>
    </row>
    <row r="7" spans="1:11" ht="12.75">
      <c r="A7" s="12" t="s">
        <v>86</v>
      </c>
      <c r="D7" s="35">
        <v>6565</v>
      </c>
      <c r="E7" s="35">
        <f>I7-D7</f>
        <v>6613</v>
      </c>
      <c r="F7" s="148">
        <v>7243</v>
      </c>
      <c r="G7" s="153">
        <f>J7-F7</f>
        <v>7247</v>
      </c>
      <c r="H7" s="35"/>
      <c r="I7" s="35">
        <v>13178</v>
      </c>
      <c r="J7" s="37">
        <v>14490</v>
      </c>
      <c r="K7" s="9"/>
    </row>
    <row r="8" spans="1:11" ht="12.75">
      <c r="A8" s="12" t="s">
        <v>87</v>
      </c>
      <c r="D8" s="38">
        <f>(D7/D5)</f>
        <v>0.38631281628810166</v>
      </c>
      <c r="E8" s="38">
        <f>(E7/E5)</f>
        <v>0.35776888119454664</v>
      </c>
      <c r="F8" s="154">
        <f>(F7/F5)</f>
        <v>0.36393327303788564</v>
      </c>
      <c r="G8" s="168">
        <f>G7/G5</f>
        <v>0.3432157234193701</v>
      </c>
      <c r="H8" s="35"/>
      <c r="I8" s="38">
        <f>(I7/I5)</f>
        <v>0.37144145667737755</v>
      </c>
      <c r="J8" s="42">
        <f>J7/J5</f>
        <v>0.35326815710559034</v>
      </c>
      <c r="K8" s="9"/>
    </row>
    <row r="9" spans="1:11" ht="12.75">
      <c r="A9" s="12"/>
      <c r="D9" s="35"/>
      <c r="E9" s="35"/>
      <c r="F9" s="148"/>
      <c r="G9" s="153"/>
      <c r="H9" s="35"/>
      <c r="I9" s="35"/>
      <c r="J9" s="37"/>
      <c r="K9" s="9"/>
    </row>
    <row r="10" spans="1:11" ht="12.75">
      <c r="A10" s="12" t="s">
        <v>88</v>
      </c>
      <c r="D10" s="35">
        <v>-2785</v>
      </c>
      <c r="E10" s="35">
        <f>I10-D10</f>
        <v>-3194</v>
      </c>
      <c r="F10" s="148">
        <v>-3264</v>
      </c>
      <c r="G10" s="153">
        <f>J10-F10</f>
        <v>-3560</v>
      </c>
      <c r="H10" s="35"/>
      <c r="I10" s="35">
        <v>-5979</v>
      </c>
      <c r="J10" s="37">
        <f>-799-1018-5007</f>
        <v>-6824</v>
      </c>
      <c r="K10" s="9"/>
    </row>
    <row r="11" spans="1:11" ht="12.75">
      <c r="A11" s="50" t="s">
        <v>39</v>
      </c>
      <c r="D11" s="51">
        <v>1443</v>
      </c>
      <c r="E11" s="51">
        <f>I11-D11</f>
        <v>1433</v>
      </c>
      <c r="F11" s="234">
        <v>1792</v>
      </c>
      <c r="G11" s="194">
        <f aca="true" t="shared" si="0" ref="G11:G17">J11-F11</f>
        <v>2299</v>
      </c>
      <c r="H11" s="35"/>
      <c r="I11" s="51">
        <v>2876</v>
      </c>
      <c r="J11" s="52">
        <v>4091</v>
      </c>
      <c r="K11" s="9"/>
    </row>
    <row r="12" spans="1:11" ht="14.25">
      <c r="A12" s="12" t="s">
        <v>171</v>
      </c>
      <c r="C12" s="35"/>
      <c r="D12" s="35">
        <f>D7+D10+D11</f>
        <v>5223</v>
      </c>
      <c r="E12" s="35">
        <f>E7+E10+E11</f>
        <v>4852</v>
      </c>
      <c r="F12" s="148">
        <f>F7+F10+F11</f>
        <v>5771</v>
      </c>
      <c r="G12" s="153">
        <f t="shared" si="0"/>
        <v>5986</v>
      </c>
      <c r="H12" s="35"/>
      <c r="I12" s="35">
        <f>I7+I10+I11</f>
        <v>10075</v>
      </c>
      <c r="J12" s="37">
        <f>J7+J10+J11</f>
        <v>11757</v>
      </c>
      <c r="K12" s="9"/>
    </row>
    <row r="13" spans="1:11" ht="12.75">
      <c r="A13" s="12" t="s">
        <v>82</v>
      </c>
      <c r="D13" s="51">
        <f>D25</f>
        <v>-522</v>
      </c>
      <c r="E13" s="51">
        <f>I13-D13</f>
        <v>-628</v>
      </c>
      <c r="F13" s="234">
        <v>-483</v>
      </c>
      <c r="G13" s="194">
        <f t="shared" si="0"/>
        <v>-806</v>
      </c>
      <c r="H13" s="35"/>
      <c r="I13" s="51">
        <v>-1150</v>
      </c>
      <c r="J13" s="52">
        <v>-1289</v>
      </c>
      <c r="K13" s="9"/>
    </row>
    <row r="14" spans="1:11" ht="12.75">
      <c r="A14" s="12" t="s">
        <v>89</v>
      </c>
      <c r="D14" s="35">
        <f>D12+D13</f>
        <v>4701</v>
      </c>
      <c r="E14" s="35">
        <f>E12+E13</f>
        <v>4224</v>
      </c>
      <c r="F14" s="148">
        <f>F12+F13</f>
        <v>5288</v>
      </c>
      <c r="G14" s="153">
        <f t="shared" si="0"/>
        <v>5180</v>
      </c>
      <c r="H14" s="35"/>
      <c r="I14" s="35">
        <f>I12+I13</f>
        <v>8925</v>
      </c>
      <c r="J14" s="37">
        <f>J12+J13</f>
        <v>10468</v>
      </c>
      <c r="K14" s="9"/>
    </row>
    <row r="15" spans="1:11" ht="12.75">
      <c r="A15" s="12" t="s">
        <v>43</v>
      </c>
      <c r="D15" s="35">
        <f>-D41</f>
        <v>-1267</v>
      </c>
      <c r="E15" s="35">
        <f>I15-D15</f>
        <v>-934</v>
      </c>
      <c r="F15" s="148">
        <v>-1274</v>
      </c>
      <c r="G15" s="153">
        <f t="shared" si="0"/>
        <v>-135</v>
      </c>
      <c r="H15" s="35"/>
      <c r="I15" s="35">
        <v>-2201</v>
      </c>
      <c r="J15" s="37">
        <v>-1409</v>
      </c>
      <c r="K15" s="9"/>
    </row>
    <row r="16" spans="1:11" ht="12.75">
      <c r="A16" s="12" t="s">
        <v>90</v>
      </c>
      <c r="D16" s="35">
        <v>-37</v>
      </c>
      <c r="E16" s="35">
        <f>I16-D16</f>
        <v>-59</v>
      </c>
      <c r="F16" s="148">
        <v>-29</v>
      </c>
      <c r="G16" s="153">
        <f t="shared" si="0"/>
        <v>27</v>
      </c>
      <c r="H16" s="35"/>
      <c r="I16" s="35">
        <v>-96</v>
      </c>
      <c r="J16" s="37">
        <v>-2</v>
      </c>
      <c r="K16" s="9"/>
    </row>
    <row r="17" spans="1:11" ht="13.5" thickBot="1">
      <c r="A17" s="12" t="s">
        <v>150</v>
      </c>
      <c r="D17" s="53">
        <f>SUM(D14:D16)</f>
        <v>3397</v>
      </c>
      <c r="E17" s="53">
        <f>I17-D17</f>
        <v>3231</v>
      </c>
      <c r="F17" s="235">
        <f>SUM(F14:F16)</f>
        <v>3985</v>
      </c>
      <c r="G17" s="195">
        <f t="shared" si="0"/>
        <v>5072</v>
      </c>
      <c r="H17" s="35"/>
      <c r="I17" s="53">
        <f>SUM(I14:I16)</f>
        <v>6628</v>
      </c>
      <c r="J17" s="54">
        <f>J14+J15+J16</f>
        <v>9057</v>
      </c>
      <c r="K17" s="9"/>
    </row>
    <row r="18" spans="1:11" ht="13.5" thickTop="1">
      <c r="A18" s="12"/>
      <c r="D18" s="35"/>
      <c r="E18" s="35"/>
      <c r="F18" s="148"/>
      <c r="G18" s="153"/>
      <c r="H18" s="35"/>
      <c r="I18" s="35"/>
      <c r="J18" s="37"/>
      <c r="K18" s="9"/>
    </row>
    <row r="19" spans="1:11" ht="12.75">
      <c r="A19" s="12" t="s">
        <v>227</v>
      </c>
      <c r="D19" s="36" t="s">
        <v>97</v>
      </c>
      <c r="E19" s="36"/>
      <c r="F19" s="150" t="s">
        <v>168</v>
      </c>
      <c r="G19" s="151"/>
      <c r="H19" s="35"/>
      <c r="I19" s="36" t="s">
        <v>159</v>
      </c>
      <c r="J19" s="237" t="s">
        <v>210</v>
      </c>
      <c r="K19" s="9"/>
    </row>
    <row r="20" spans="1:11" ht="12.75">
      <c r="A20" s="12" t="s">
        <v>91</v>
      </c>
      <c r="D20" s="35">
        <v>52935</v>
      </c>
      <c r="E20" s="35"/>
      <c r="F20" s="148">
        <v>53006</v>
      </c>
      <c r="G20" s="153"/>
      <c r="H20" s="35"/>
      <c r="I20" s="35">
        <v>53019</v>
      </c>
      <c r="J20" s="37">
        <v>52737</v>
      </c>
      <c r="K20" s="9"/>
    </row>
    <row r="21" spans="1:11" ht="12.75">
      <c r="A21" s="12"/>
      <c r="D21" s="35"/>
      <c r="E21" s="35"/>
      <c r="F21" s="148"/>
      <c r="G21" s="153"/>
      <c r="H21" s="35"/>
      <c r="I21" s="35"/>
      <c r="J21" s="37"/>
      <c r="K21" s="9"/>
    </row>
    <row r="22" spans="1:11" ht="12.75">
      <c r="A22" s="50" t="s">
        <v>160</v>
      </c>
      <c r="D22" s="35">
        <f>58222-5180</f>
        <v>53042</v>
      </c>
      <c r="E22" s="35">
        <f>I22</f>
        <v>53123</v>
      </c>
      <c r="F22" s="148">
        <v>52490</v>
      </c>
      <c r="G22" s="37">
        <v>52483</v>
      </c>
      <c r="H22" s="35"/>
      <c r="I22" s="35">
        <f>58255-5132</f>
        <v>53123</v>
      </c>
      <c r="J22" s="37">
        <v>52483</v>
      </c>
      <c r="K22" s="9"/>
    </row>
    <row r="23" spans="1:11" ht="12.75">
      <c r="A23" s="55"/>
      <c r="D23" s="35"/>
      <c r="E23" s="35"/>
      <c r="F23" s="148"/>
      <c r="G23" s="153"/>
      <c r="H23" s="35"/>
      <c r="I23" s="35"/>
      <c r="J23" s="37"/>
      <c r="K23" s="9"/>
    </row>
    <row r="24" spans="1:11" ht="15">
      <c r="A24" s="56" t="s">
        <v>92</v>
      </c>
      <c r="D24" s="9"/>
      <c r="E24" s="35"/>
      <c r="F24" s="142"/>
      <c r="G24" s="144"/>
      <c r="H24" s="35"/>
      <c r="I24" s="35"/>
      <c r="J24" s="37"/>
      <c r="K24" s="9"/>
    </row>
    <row r="25" spans="1:11" ht="12.75">
      <c r="A25" s="57" t="s">
        <v>82</v>
      </c>
      <c r="D25" s="35">
        <v>-522</v>
      </c>
      <c r="E25" s="35">
        <f>I25-D25</f>
        <v>-628</v>
      </c>
      <c r="F25" s="148">
        <v>-483</v>
      </c>
      <c r="G25" s="153">
        <f>J25-F25</f>
        <v>-806</v>
      </c>
      <c r="H25" s="35"/>
      <c r="I25" s="35">
        <v>-1150</v>
      </c>
      <c r="J25" s="37">
        <v>-1289</v>
      </c>
      <c r="K25" s="9"/>
    </row>
    <row r="26" spans="1:11" ht="16.5" customHeight="1">
      <c r="A26" s="58" t="s">
        <v>172</v>
      </c>
      <c r="D26" s="35">
        <v>-376</v>
      </c>
      <c r="E26" s="35">
        <f>I26-D26</f>
        <v>226</v>
      </c>
      <c r="F26" s="148">
        <v>-260</v>
      </c>
      <c r="G26" s="153">
        <f>J26-F26</f>
        <v>-75</v>
      </c>
      <c r="H26" s="35"/>
      <c r="I26" s="35">
        <v>-150</v>
      </c>
      <c r="J26" s="37">
        <v>-335</v>
      </c>
      <c r="K26" s="9"/>
    </row>
    <row r="27" spans="1:11" ht="13.5" thickBot="1">
      <c r="A27" s="59" t="s">
        <v>83</v>
      </c>
      <c r="D27" s="53">
        <f>SUM(D25:D26)</f>
        <v>-898</v>
      </c>
      <c r="E27" s="53">
        <f>SUM(E25:E26)</f>
        <v>-402</v>
      </c>
      <c r="F27" s="235">
        <f>SUM(F25:F26)</f>
        <v>-743</v>
      </c>
      <c r="G27" s="195">
        <f>J27-F27</f>
        <v>-881</v>
      </c>
      <c r="H27" s="35"/>
      <c r="I27" s="53">
        <f>SUM(I25:I26)</f>
        <v>-1300</v>
      </c>
      <c r="J27" s="54">
        <f>J25+J26</f>
        <v>-1624</v>
      </c>
      <c r="K27" s="9"/>
    </row>
    <row r="28" spans="1:11" ht="13.5" thickTop="1">
      <c r="A28" s="60"/>
      <c r="D28" s="35"/>
      <c r="E28" s="35"/>
      <c r="F28" s="148"/>
      <c r="G28" s="153"/>
      <c r="H28" s="35"/>
      <c r="I28" s="35"/>
      <c r="J28" s="37"/>
      <c r="K28" s="9"/>
    </row>
    <row r="29" spans="1:11" ht="12.75">
      <c r="A29" s="61"/>
      <c r="D29" s="35"/>
      <c r="E29" s="35"/>
      <c r="F29" s="148"/>
      <c r="G29" s="153"/>
      <c r="H29" s="35"/>
      <c r="I29" s="35"/>
      <c r="J29" s="37"/>
      <c r="K29" s="9"/>
    </row>
    <row r="30" spans="1:11" ht="15">
      <c r="A30" s="62" t="s">
        <v>40</v>
      </c>
      <c r="D30" s="35"/>
      <c r="E30" s="35"/>
      <c r="F30" s="148"/>
      <c r="G30" s="153"/>
      <c r="H30" s="35"/>
      <c r="I30" s="35"/>
      <c r="J30" s="262"/>
      <c r="K30" s="9"/>
    </row>
    <row r="31" spans="1:11" ht="12.75">
      <c r="A31" s="57" t="s">
        <v>48</v>
      </c>
      <c r="D31" s="38">
        <v>0.301</v>
      </c>
      <c r="E31" s="38">
        <v>0.259</v>
      </c>
      <c r="F31" s="154">
        <v>0.265</v>
      </c>
      <c r="G31" s="168">
        <f>G39/G33</f>
        <v>0.06814434878182818</v>
      </c>
      <c r="H31" s="63"/>
      <c r="I31" s="38">
        <v>0.281</v>
      </c>
      <c r="J31" s="42">
        <v>0.167</v>
      </c>
      <c r="K31" s="9"/>
    </row>
    <row r="32" spans="1:11" ht="12.75">
      <c r="A32" s="57"/>
      <c r="D32" s="35"/>
      <c r="E32" s="35"/>
      <c r="F32" s="148"/>
      <c r="G32" s="153"/>
      <c r="H32" s="35"/>
      <c r="I32" s="35"/>
      <c r="J32" s="37"/>
      <c r="K32" s="9"/>
    </row>
    <row r="33" spans="1:11" ht="12.75">
      <c r="A33" s="57" t="s">
        <v>47</v>
      </c>
      <c r="D33" s="35">
        <v>4951</v>
      </c>
      <c r="E33" s="35">
        <f>I33-D33</f>
        <v>4478</v>
      </c>
      <c r="F33" s="148">
        <v>5504</v>
      </c>
      <c r="G33" s="153">
        <f>J33-F33</f>
        <v>5459</v>
      </c>
      <c r="H33" s="35"/>
      <c r="I33" s="35">
        <v>9429</v>
      </c>
      <c r="J33" s="37">
        <v>10963</v>
      </c>
      <c r="K33" s="9"/>
    </row>
    <row r="34" spans="1:11" ht="12.75">
      <c r="A34" s="50" t="s">
        <v>61</v>
      </c>
      <c r="D34" s="51">
        <v>-250</v>
      </c>
      <c r="E34" s="51">
        <f>I34-D34</f>
        <v>-254</v>
      </c>
      <c r="F34" s="234">
        <v>-216</v>
      </c>
      <c r="G34" s="194">
        <f>J34-F34</f>
        <v>-279</v>
      </c>
      <c r="H34" s="35"/>
      <c r="I34" s="51">
        <v>-504</v>
      </c>
      <c r="J34" s="52">
        <v>-495</v>
      </c>
      <c r="K34" s="9"/>
    </row>
    <row r="35" spans="1:11" ht="12.75">
      <c r="A35" s="50" t="s">
        <v>46</v>
      </c>
      <c r="D35" s="35">
        <f>SUM(D33:D34)</f>
        <v>4701</v>
      </c>
      <c r="E35" s="35">
        <f>SUM(E33:E34)</f>
        <v>4224</v>
      </c>
      <c r="F35" s="148">
        <f>SUM(F33:F34)</f>
        <v>5288</v>
      </c>
      <c r="G35" s="153">
        <f>J35-F35</f>
        <v>5180</v>
      </c>
      <c r="H35" s="35"/>
      <c r="I35" s="35">
        <f>SUM(I33:I34)</f>
        <v>8925</v>
      </c>
      <c r="J35" s="37">
        <f>J33+J34</f>
        <v>10468</v>
      </c>
      <c r="K35" s="9"/>
    </row>
    <row r="36" spans="1:11" ht="12.75">
      <c r="A36" s="50" t="s">
        <v>103</v>
      </c>
      <c r="D36" s="51">
        <v>-141</v>
      </c>
      <c r="E36" s="35">
        <f>I36-D36</f>
        <v>217</v>
      </c>
      <c r="F36" s="234">
        <v>-1974</v>
      </c>
      <c r="G36" s="194">
        <f>J36-F36</f>
        <v>-4305</v>
      </c>
      <c r="H36" s="35"/>
      <c r="I36" s="35">
        <v>76</v>
      </c>
      <c r="J36" s="37">
        <v>-6279</v>
      </c>
      <c r="K36" s="9"/>
    </row>
    <row r="37" spans="1:11" ht="13.5" thickBot="1">
      <c r="A37" s="57" t="s">
        <v>217</v>
      </c>
      <c r="D37" s="53">
        <f aca="true" t="shared" si="1" ref="D37:I37">SUM(D35:D36)</f>
        <v>4560</v>
      </c>
      <c r="E37" s="53">
        <f t="shared" si="1"/>
        <v>4441</v>
      </c>
      <c r="F37" s="235">
        <f t="shared" si="1"/>
        <v>3314</v>
      </c>
      <c r="G37" s="195">
        <f>J37-F37</f>
        <v>875</v>
      </c>
      <c r="H37" s="35"/>
      <c r="I37" s="53">
        <f t="shared" si="1"/>
        <v>9001</v>
      </c>
      <c r="J37" s="54">
        <f>J35+J36</f>
        <v>4189</v>
      </c>
      <c r="K37" s="9"/>
    </row>
    <row r="38" spans="1:11" ht="13.5" thickTop="1">
      <c r="A38" s="50"/>
      <c r="D38" s="35"/>
      <c r="E38" s="35"/>
      <c r="F38" s="148"/>
      <c r="G38" s="153"/>
      <c r="H38" s="35"/>
      <c r="I38" s="35"/>
      <c r="J38" s="37"/>
      <c r="K38" s="9"/>
    </row>
    <row r="39" spans="1:11" ht="12.75">
      <c r="A39" s="57" t="s">
        <v>45</v>
      </c>
      <c r="D39" s="35">
        <v>1489</v>
      </c>
      <c r="E39" s="35">
        <f>I39-D39</f>
        <v>1160</v>
      </c>
      <c r="F39" s="148">
        <v>1459</v>
      </c>
      <c r="G39" s="153">
        <f aca="true" t="shared" si="2" ref="G39:G44">J39-F39</f>
        <v>372</v>
      </c>
      <c r="H39" s="35"/>
      <c r="I39" s="35">
        <v>2649</v>
      </c>
      <c r="J39" s="37">
        <v>1831</v>
      </c>
      <c r="K39" s="9"/>
    </row>
    <row r="40" spans="1:11" ht="12.75">
      <c r="A40" s="50" t="s">
        <v>44</v>
      </c>
      <c r="D40" s="51">
        <v>-222</v>
      </c>
      <c r="E40" s="51">
        <f>I40-D40</f>
        <v>-226</v>
      </c>
      <c r="F40" s="234">
        <v>-185</v>
      </c>
      <c r="G40" s="194">
        <f t="shared" si="2"/>
        <v>-237</v>
      </c>
      <c r="H40" s="35"/>
      <c r="I40" s="51">
        <v>-448</v>
      </c>
      <c r="J40" s="52">
        <v>-422</v>
      </c>
      <c r="K40" s="9"/>
    </row>
    <row r="41" spans="1:11" ht="12.75">
      <c r="A41" s="50" t="s">
        <v>43</v>
      </c>
      <c r="D41" s="35">
        <f aca="true" t="shared" si="3" ref="D41:I41">SUM(D39:D40)</f>
        <v>1267</v>
      </c>
      <c r="E41" s="35">
        <f t="shared" si="3"/>
        <v>934</v>
      </c>
      <c r="F41" s="148">
        <f t="shared" si="3"/>
        <v>1274</v>
      </c>
      <c r="G41" s="153">
        <f t="shared" si="2"/>
        <v>135</v>
      </c>
      <c r="H41" s="35"/>
      <c r="I41" s="35">
        <f t="shared" si="3"/>
        <v>2201</v>
      </c>
      <c r="J41" s="37">
        <f>J39+J40</f>
        <v>1409</v>
      </c>
      <c r="K41" s="9"/>
    </row>
    <row r="42" spans="1:11" ht="12.75">
      <c r="A42" s="50" t="s">
        <v>42</v>
      </c>
      <c r="D42" s="35">
        <v>-19</v>
      </c>
      <c r="E42" s="35">
        <f>I42-D42</f>
        <v>91</v>
      </c>
      <c r="F42" s="148">
        <v>-129</v>
      </c>
      <c r="G42" s="153">
        <f t="shared" si="2"/>
        <v>-171</v>
      </c>
      <c r="H42" s="35"/>
      <c r="I42" s="35">
        <v>72</v>
      </c>
      <c r="J42" s="37">
        <v>-300</v>
      </c>
      <c r="K42" s="9"/>
    </row>
    <row r="43" spans="1:11" ht="12.75">
      <c r="A43" s="50" t="s">
        <v>41</v>
      </c>
      <c r="D43" s="35">
        <v>-15</v>
      </c>
      <c r="E43" s="51">
        <f>I43-D43</f>
        <v>-13</v>
      </c>
      <c r="F43" s="180">
        <v>0</v>
      </c>
      <c r="G43" s="183">
        <f t="shared" si="2"/>
        <v>28</v>
      </c>
      <c r="H43" s="35"/>
      <c r="I43" s="35">
        <v>-28</v>
      </c>
      <c r="J43" s="183">
        <f>M43-I43</f>
        <v>28</v>
      </c>
      <c r="K43" s="9"/>
    </row>
    <row r="44" spans="1:11" ht="13.5" thickBot="1">
      <c r="A44" s="57" t="s">
        <v>62</v>
      </c>
      <c r="D44" s="53">
        <f aca="true" t="shared" si="4" ref="D44:I44">SUM(D41:D43)</f>
        <v>1233</v>
      </c>
      <c r="E44" s="53">
        <f t="shared" si="4"/>
        <v>1012</v>
      </c>
      <c r="F44" s="235">
        <f t="shared" si="4"/>
        <v>1145</v>
      </c>
      <c r="G44" s="195">
        <f t="shared" si="2"/>
        <v>-8</v>
      </c>
      <c r="H44" s="35"/>
      <c r="I44" s="53">
        <f t="shared" si="4"/>
        <v>2245</v>
      </c>
      <c r="J44" s="54">
        <f>J41+J42+J43</f>
        <v>1137</v>
      </c>
      <c r="K44" s="9"/>
    </row>
    <row r="45" spans="1:11" ht="13.5" thickTop="1">
      <c r="A45" s="12"/>
      <c r="D45" s="35"/>
      <c r="E45" s="35"/>
      <c r="F45" s="148"/>
      <c r="G45" s="153"/>
      <c r="H45" s="35"/>
      <c r="I45" s="35"/>
      <c r="J45" s="37"/>
      <c r="K45" s="9"/>
    </row>
    <row r="46" spans="1:11" ht="15">
      <c r="A46" s="62" t="s">
        <v>93</v>
      </c>
      <c r="D46" s="35"/>
      <c r="E46" s="35"/>
      <c r="F46" s="148"/>
      <c r="G46" s="153"/>
      <c r="H46" s="35"/>
      <c r="I46" s="35"/>
      <c r="J46" s="37"/>
      <c r="K46" s="9"/>
    </row>
    <row r="47" spans="1:11" ht="12.75">
      <c r="A47" s="40" t="s">
        <v>151</v>
      </c>
      <c r="D47" s="35">
        <v>3397</v>
      </c>
      <c r="E47" s="35">
        <f>I47-D47</f>
        <v>3231</v>
      </c>
      <c r="F47" s="148">
        <v>3985</v>
      </c>
      <c r="G47" s="153">
        <f>J47-F47</f>
        <v>5072</v>
      </c>
      <c r="H47" s="35"/>
      <c r="I47" s="35">
        <v>6628</v>
      </c>
      <c r="J47" s="37">
        <v>9057</v>
      </c>
      <c r="K47" s="9"/>
    </row>
    <row r="48" spans="1:11" ht="12.75">
      <c r="A48" s="39" t="s">
        <v>49</v>
      </c>
      <c r="D48" s="35"/>
      <c r="E48" s="35"/>
      <c r="F48" s="148"/>
      <c r="G48" s="153"/>
      <c r="H48" s="35"/>
      <c r="I48" s="35"/>
      <c r="J48" s="37"/>
      <c r="K48" s="9"/>
    </row>
    <row r="49" spans="1:11" ht="12.75">
      <c r="A49" s="39" t="s">
        <v>35</v>
      </c>
      <c r="C49" s="64"/>
      <c r="D49" s="43">
        <v>0</v>
      </c>
      <c r="E49" s="43">
        <f>I49-D49</f>
        <v>0</v>
      </c>
      <c r="F49" s="150">
        <v>-1700</v>
      </c>
      <c r="G49" s="153">
        <f aca="true" t="shared" si="5" ref="G49:G55">J49-F49</f>
        <v>-4200</v>
      </c>
      <c r="H49" s="35"/>
      <c r="I49" s="43">
        <v>0</v>
      </c>
      <c r="J49" s="237">
        <v>-5900</v>
      </c>
      <c r="K49" s="9"/>
    </row>
    <row r="50" spans="1:11" ht="14.25">
      <c r="A50" s="39" t="s">
        <v>173</v>
      </c>
      <c r="D50" s="35">
        <v>-15</v>
      </c>
      <c r="E50" s="35">
        <f>I50-D50</f>
        <v>-13</v>
      </c>
      <c r="F50" s="180">
        <v>0</v>
      </c>
      <c r="G50" s="183">
        <f t="shared" si="5"/>
        <v>0</v>
      </c>
      <c r="H50" s="35"/>
      <c r="I50" s="35">
        <v>-28</v>
      </c>
      <c r="J50" s="44">
        <v>0</v>
      </c>
      <c r="K50" s="9"/>
    </row>
    <row r="51" spans="1:11" ht="12.75">
      <c r="A51" s="39" t="s">
        <v>50</v>
      </c>
      <c r="D51" s="43">
        <v>0</v>
      </c>
      <c r="E51" s="43">
        <f>I51-D51</f>
        <v>0</v>
      </c>
      <c r="F51" s="180">
        <v>0</v>
      </c>
      <c r="G51" s="183">
        <f t="shared" si="5"/>
        <v>0</v>
      </c>
      <c r="H51" s="35"/>
      <c r="I51" s="43">
        <v>0</v>
      </c>
      <c r="J51" s="44">
        <v>0</v>
      </c>
      <c r="K51" s="9"/>
    </row>
    <row r="52" spans="1:11" ht="17.25" customHeight="1">
      <c r="A52" s="39" t="s">
        <v>174</v>
      </c>
      <c r="D52" s="35">
        <v>250</v>
      </c>
      <c r="E52" s="35">
        <f>I52-D52</f>
        <v>4</v>
      </c>
      <c r="F52" s="148">
        <v>-14</v>
      </c>
      <c r="G52" s="153">
        <f t="shared" si="5"/>
        <v>-30</v>
      </c>
      <c r="H52" s="35"/>
      <c r="I52" s="35">
        <v>254</v>
      </c>
      <c r="J52" s="37">
        <v>-44</v>
      </c>
      <c r="K52" s="9"/>
    </row>
    <row r="53" spans="1:11" ht="14.25">
      <c r="A53" s="39" t="s">
        <v>175</v>
      </c>
      <c r="D53" s="51">
        <v>-376</v>
      </c>
      <c r="E53" s="51">
        <f>I53-D53</f>
        <v>226</v>
      </c>
      <c r="F53" s="234">
        <v>-260</v>
      </c>
      <c r="G53" s="194">
        <f t="shared" si="5"/>
        <v>-75</v>
      </c>
      <c r="H53" s="35"/>
      <c r="I53" s="51">
        <v>-150</v>
      </c>
      <c r="J53" s="52">
        <v>-335</v>
      </c>
      <c r="K53" s="9"/>
    </row>
    <row r="54" spans="1:11" ht="12.75">
      <c r="A54" s="39"/>
      <c r="D54" s="35">
        <f>SUM(D49:D53)</f>
        <v>-141</v>
      </c>
      <c r="E54" s="35">
        <f>SUM(E49:E53)</f>
        <v>217</v>
      </c>
      <c r="F54" s="148">
        <f>SUM(F49:F53)</f>
        <v>-1974</v>
      </c>
      <c r="G54" s="153">
        <f t="shared" si="5"/>
        <v>-4305</v>
      </c>
      <c r="H54" s="35"/>
      <c r="I54" s="35">
        <f>SUM(I49:I53)</f>
        <v>76</v>
      </c>
      <c r="J54" s="37">
        <f>J49+J50+J51+J52+J53</f>
        <v>-6279</v>
      </c>
      <c r="K54" s="9"/>
    </row>
    <row r="55" spans="1:11" ht="14.25">
      <c r="A55" s="39" t="s">
        <v>176</v>
      </c>
      <c r="D55" s="35">
        <v>34</v>
      </c>
      <c r="E55" s="35">
        <f>I55-D55</f>
        <v>-78</v>
      </c>
      <c r="F55" s="148">
        <v>129</v>
      </c>
      <c r="G55" s="153">
        <f t="shared" si="5"/>
        <v>171</v>
      </c>
      <c r="H55" s="35"/>
      <c r="I55" s="35">
        <v>-44</v>
      </c>
      <c r="J55" s="37">
        <v>300</v>
      </c>
      <c r="K55" s="9"/>
    </row>
    <row r="56" spans="1:11" ht="12.75">
      <c r="A56" s="12"/>
      <c r="D56" s="35"/>
      <c r="E56" s="35"/>
      <c r="F56" s="148"/>
      <c r="G56" s="153"/>
      <c r="H56" s="35"/>
      <c r="I56" s="35"/>
      <c r="J56" s="37"/>
      <c r="K56" s="9"/>
    </row>
    <row r="57" spans="1:11" ht="13.5" thickBot="1">
      <c r="A57" s="40" t="s">
        <v>218</v>
      </c>
      <c r="D57" s="53">
        <f>D47+D54+D55</f>
        <v>3290</v>
      </c>
      <c r="E57" s="53">
        <f>E47+E54+E55</f>
        <v>3370</v>
      </c>
      <c r="F57" s="235">
        <f>F47+F54+F55</f>
        <v>2140</v>
      </c>
      <c r="G57" s="195">
        <f>J57-F57</f>
        <v>938</v>
      </c>
      <c r="H57" s="35"/>
      <c r="I57" s="53">
        <f>I47+I54+I55</f>
        <v>6660</v>
      </c>
      <c r="J57" s="54">
        <f>J54+J55+J47</f>
        <v>3078</v>
      </c>
      <c r="K57" s="9"/>
    </row>
    <row r="58" spans="2:11" ht="13.5" thickTop="1">
      <c r="B58" s="40"/>
      <c r="D58" s="35"/>
      <c r="E58" s="35"/>
      <c r="F58" s="148"/>
      <c r="G58" s="153"/>
      <c r="H58" s="35"/>
      <c r="I58" s="35"/>
      <c r="J58" s="37"/>
      <c r="K58" s="9"/>
    </row>
    <row r="59" spans="2:11" ht="12.75">
      <c r="B59" s="40"/>
      <c r="D59" s="35"/>
      <c r="E59" s="35"/>
      <c r="F59" s="148"/>
      <c r="G59" s="153"/>
      <c r="H59" s="35"/>
      <c r="I59" s="35"/>
      <c r="J59" s="37"/>
      <c r="K59" s="9"/>
    </row>
    <row r="60" spans="1:11" ht="12.75">
      <c r="A60" s="9" t="s">
        <v>106</v>
      </c>
      <c r="B60" s="40"/>
      <c r="D60" s="35"/>
      <c r="E60" s="35"/>
      <c r="F60" s="148"/>
      <c r="G60" s="153"/>
      <c r="H60" s="35"/>
      <c r="I60" s="35"/>
      <c r="J60" s="37"/>
      <c r="K60" s="9"/>
    </row>
    <row r="61" spans="1:11" ht="12.75">
      <c r="A61" s="47" t="s">
        <v>99</v>
      </c>
      <c r="B61" s="333" t="s">
        <v>0</v>
      </c>
      <c r="C61" s="333"/>
      <c r="D61" s="333"/>
      <c r="E61" s="333"/>
      <c r="F61" s="333"/>
      <c r="G61" s="333"/>
      <c r="H61" s="333"/>
      <c r="I61" s="333"/>
      <c r="J61" s="333"/>
      <c r="K61" s="9"/>
    </row>
    <row r="62" spans="1:11" ht="12.75">
      <c r="A62" s="47"/>
      <c r="B62" s="333"/>
      <c r="C62" s="333"/>
      <c r="D62" s="333"/>
      <c r="E62" s="333"/>
      <c r="F62" s="333"/>
      <c r="G62" s="333"/>
      <c r="H62" s="333"/>
      <c r="I62" s="333"/>
      <c r="J62" s="333"/>
      <c r="K62" s="9"/>
    </row>
    <row r="63" spans="2:11" ht="12.75">
      <c r="B63" s="333"/>
      <c r="C63" s="333"/>
      <c r="D63" s="333"/>
      <c r="E63" s="333"/>
      <c r="F63" s="333"/>
      <c r="G63" s="333"/>
      <c r="H63" s="333"/>
      <c r="I63" s="333"/>
      <c r="J63" s="333"/>
      <c r="K63" s="9"/>
    </row>
    <row r="64" spans="1:11" ht="12.75">
      <c r="A64" s="32"/>
      <c r="B64" s="65"/>
      <c r="D64" s="35"/>
      <c r="E64" s="35"/>
      <c r="F64" s="148"/>
      <c r="G64" s="153"/>
      <c r="H64" s="35"/>
      <c r="I64" s="35"/>
      <c r="J64" s="37"/>
      <c r="K64" s="9"/>
    </row>
    <row r="65" spans="1:11" ht="12.75">
      <c r="A65" s="32"/>
      <c r="B65" s="65"/>
      <c r="D65" s="35"/>
      <c r="E65" s="35"/>
      <c r="F65" s="148"/>
      <c r="G65" s="153"/>
      <c r="H65" s="35"/>
      <c r="I65" s="35"/>
      <c r="J65" s="37"/>
      <c r="K65" s="9"/>
    </row>
    <row r="66" spans="1:11" ht="12.75">
      <c r="A66" s="32"/>
      <c r="B66" s="65"/>
      <c r="D66" s="35"/>
      <c r="E66" s="35"/>
      <c r="F66" s="148"/>
      <c r="G66" s="153"/>
      <c r="H66" s="35"/>
      <c r="I66" s="35"/>
      <c r="J66" s="37"/>
      <c r="K66" s="9"/>
    </row>
    <row r="67" spans="1:11" ht="12.75">
      <c r="A67" s="32"/>
      <c r="B67" s="65"/>
      <c r="D67" s="35"/>
      <c r="E67" s="35"/>
      <c r="F67" s="148"/>
      <c r="G67" s="153"/>
      <c r="H67" s="35"/>
      <c r="I67" s="35"/>
      <c r="J67" s="37"/>
      <c r="K67" s="9"/>
    </row>
    <row r="68" spans="1:11" ht="12.75">
      <c r="A68" s="32"/>
      <c r="B68" s="65"/>
      <c r="D68" s="35"/>
      <c r="E68" s="35"/>
      <c r="F68" s="148"/>
      <c r="G68" s="153"/>
      <c r="H68" s="35"/>
      <c r="I68" s="35"/>
      <c r="J68" s="37"/>
      <c r="K68" s="9"/>
    </row>
    <row r="69" spans="2:11" ht="12.75">
      <c r="B69" s="66"/>
      <c r="D69" s="35"/>
      <c r="E69" s="35"/>
      <c r="F69" s="148"/>
      <c r="G69" s="153"/>
      <c r="H69" s="35"/>
      <c r="I69" s="35"/>
      <c r="J69" s="37"/>
      <c r="K69" s="9"/>
    </row>
    <row r="70" spans="2:11" ht="12.75">
      <c r="B70" s="66"/>
      <c r="D70" s="35"/>
      <c r="E70" s="35"/>
      <c r="F70" s="148"/>
      <c r="G70" s="153"/>
      <c r="H70" s="35"/>
      <c r="I70" s="35"/>
      <c r="J70" s="37"/>
      <c r="K70" s="9"/>
    </row>
    <row r="71" spans="2:11" ht="17.25" customHeight="1">
      <c r="B71" s="67"/>
      <c r="D71" s="9"/>
      <c r="E71" s="9"/>
      <c r="F71" s="142"/>
      <c r="G71" s="144"/>
      <c r="H71" s="9"/>
      <c r="I71" s="9"/>
      <c r="J71" s="14"/>
      <c r="K71" s="9"/>
    </row>
    <row r="72" ht="12.75">
      <c r="B72" s="67"/>
    </row>
  </sheetData>
  <mergeCells count="1">
    <mergeCell ref="B61:J63"/>
  </mergeCells>
  <printOptions/>
  <pageMargins left="0.7480314960629921" right="0.7480314960629921" top="0.984251968503937" bottom="0.984251968503937" header="0.5118110236220472" footer="0.5118110236220472"/>
  <pageSetup fitToHeight="1" fitToWidth="1" horizontalDpi="600" verticalDpi="600" orientation="portrait" paperSize="9" scale="67" r:id="rId1"/>
  <headerFooter alignWithMargins="0">
    <oddHeader>&amp;L&amp;"Vodafone Rg,Regular"Vodafone Group Plc&amp;C&amp;"Vodafone Rg,Regular"&amp;A</oddHead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K47"/>
  <sheetViews>
    <sheetView showGridLines="0" view="pageBreakPreview" zoomScaleSheetLayoutView="100" workbookViewId="0" topLeftCell="A1">
      <pane xSplit="2" ySplit="3" topLeftCell="C4" activePane="bottomRight" state="frozen"/>
      <selection pane="topLeft" activeCell="B55" sqref="B55:J61"/>
      <selection pane="topRight" activeCell="B55" sqref="B55:J61"/>
      <selection pane="bottomLeft" activeCell="B55" sqref="B55:J61"/>
      <selection pane="bottomRight" activeCell="A1" sqref="A1"/>
    </sheetView>
  </sheetViews>
  <sheetFormatPr defaultColWidth="9.140625" defaultRowHeight="12.75"/>
  <cols>
    <col min="1" max="1" width="3.7109375" style="9" customWidth="1"/>
    <col min="2" max="2" width="50.7109375" style="10" bestFit="1" customWidth="1"/>
    <col min="3" max="3" width="3.7109375" style="10" customWidth="1"/>
    <col min="4" max="6" width="8.7109375" style="10" customWidth="1"/>
    <col min="7" max="7" width="8.7109375" style="41" customWidth="1"/>
    <col min="8" max="8" width="3.7109375" style="10" customWidth="1"/>
    <col min="9" max="9" width="8.7109375" style="10" customWidth="1"/>
    <col min="10" max="10" width="8.7109375" style="4" customWidth="1"/>
    <col min="11" max="11" width="3.7109375" style="10" customWidth="1"/>
    <col min="12" max="12" width="9.140625" style="9" customWidth="1"/>
    <col min="13" max="16384" width="9.140625" style="10" customWidth="1"/>
  </cols>
  <sheetData>
    <row r="1" spans="1:11" ht="12.75">
      <c r="A1" s="14"/>
      <c r="B1" s="9"/>
      <c r="C1" s="9"/>
      <c r="D1" s="9"/>
      <c r="E1" s="9"/>
      <c r="F1" s="9"/>
      <c r="G1" s="14"/>
      <c r="H1" s="9"/>
      <c r="I1" s="9"/>
      <c r="J1" s="144"/>
      <c r="K1" s="9"/>
    </row>
    <row r="2" spans="2:11" ht="12.75">
      <c r="B2" s="9"/>
      <c r="C2" s="9"/>
      <c r="D2" s="13" t="s">
        <v>154</v>
      </c>
      <c r="E2" s="13" t="s">
        <v>155</v>
      </c>
      <c r="F2" s="13" t="s">
        <v>165</v>
      </c>
      <c r="G2" s="48" t="s">
        <v>196</v>
      </c>
      <c r="H2" s="13"/>
      <c r="I2" s="13" t="s">
        <v>156</v>
      </c>
      <c r="J2" s="143" t="s">
        <v>197</v>
      </c>
      <c r="K2" s="9"/>
    </row>
    <row r="3" spans="1:11" ht="12.75">
      <c r="A3" s="14"/>
      <c r="B3" s="9"/>
      <c r="C3" s="9"/>
      <c r="D3" s="13" t="s">
        <v>80</v>
      </c>
      <c r="E3" s="13" t="s">
        <v>80</v>
      </c>
      <c r="F3" s="13" t="s">
        <v>80</v>
      </c>
      <c r="G3" s="48" t="s">
        <v>80</v>
      </c>
      <c r="H3" s="13"/>
      <c r="I3" s="13" t="s">
        <v>80</v>
      </c>
      <c r="J3" s="143" t="s">
        <v>80</v>
      </c>
      <c r="K3" s="9"/>
    </row>
    <row r="4" spans="1:11" ht="12.75">
      <c r="A4" s="68"/>
      <c r="B4" s="9"/>
      <c r="C4" s="9"/>
      <c r="D4" s="9"/>
      <c r="E4" s="9"/>
      <c r="F4" s="9"/>
      <c r="G4" s="14"/>
      <c r="H4" s="9"/>
      <c r="I4" s="9"/>
      <c r="J4" s="144"/>
      <c r="K4" s="9"/>
    </row>
    <row r="5" spans="1:11" ht="12.75">
      <c r="A5" s="9" t="s">
        <v>228</v>
      </c>
      <c r="B5" s="9"/>
      <c r="C5" s="9"/>
      <c r="D5" s="35">
        <v>6347</v>
      </c>
      <c r="E5" s="36">
        <f>I5-D5</f>
        <v>6942</v>
      </c>
      <c r="F5" s="35">
        <v>7144</v>
      </c>
      <c r="G5" s="37">
        <f>J5-F5</f>
        <v>7490</v>
      </c>
      <c r="H5" s="35"/>
      <c r="I5" s="35">
        <v>13289</v>
      </c>
      <c r="J5" s="37">
        <v>14634</v>
      </c>
      <c r="K5" s="9"/>
    </row>
    <row r="6" spans="2:11" ht="7.5" customHeight="1">
      <c r="B6" s="9"/>
      <c r="C6" s="9"/>
      <c r="D6" s="35"/>
      <c r="E6" s="35"/>
      <c r="F6" s="35"/>
      <c r="G6" s="37"/>
      <c r="H6" s="35"/>
      <c r="I6" s="35"/>
      <c r="J6" s="37"/>
      <c r="K6" s="9"/>
    </row>
    <row r="7" spans="1:11" ht="12.75">
      <c r="A7" s="9" t="s">
        <v>64</v>
      </c>
      <c r="B7" s="9"/>
      <c r="C7" s="9"/>
      <c r="D7" s="35">
        <v>-320</v>
      </c>
      <c r="E7" s="35">
        <f>I7-D7</f>
        <v>-526</v>
      </c>
      <c r="F7" s="35">
        <v>-1099</v>
      </c>
      <c r="G7" s="37">
        <f>J7-F7</f>
        <v>-665</v>
      </c>
      <c r="H7" s="35"/>
      <c r="I7" s="35">
        <v>-846</v>
      </c>
      <c r="J7" s="153">
        <v>-1764</v>
      </c>
      <c r="K7" s="9"/>
    </row>
    <row r="8" spans="1:11" ht="12.75">
      <c r="A8" s="9" t="s">
        <v>94</v>
      </c>
      <c r="B8" s="9"/>
      <c r="C8" s="9"/>
      <c r="D8" s="35">
        <v>-1902</v>
      </c>
      <c r="E8" s="35">
        <f>I8-D8</f>
        <v>-1950</v>
      </c>
      <c r="F8" s="35">
        <v>-2475</v>
      </c>
      <c r="G8" s="37">
        <f>J8-F8</f>
        <v>-2729</v>
      </c>
      <c r="H8" s="35"/>
      <c r="I8" s="35">
        <v>-3852</v>
      </c>
      <c r="J8" s="153">
        <v>-5204</v>
      </c>
      <c r="K8" s="9"/>
    </row>
    <row r="9" spans="1:11" ht="12.75">
      <c r="A9" s="9" t="s">
        <v>95</v>
      </c>
      <c r="B9" s="9"/>
      <c r="C9" s="9"/>
      <c r="D9" s="35">
        <v>13</v>
      </c>
      <c r="E9" s="35">
        <f>I9-D9</f>
        <v>26</v>
      </c>
      <c r="F9" s="35">
        <v>61</v>
      </c>
      <c r="G9" s="37">
        <f>J9-F9</f>
        <v>256</v>
      </c>
      <c r="H9" s="35"/>
      <c r="I9" s="35">
        <v>39</v>
      </c>
      <c r="J9" s="153">
        <v>317</v>
      </c>
      <c r="K9" s="9"/>
    </row>
    <row r="10" spans="2:11" ht="12.75">
      <c r="B10" s="9"/>
      <c r="C10" s="9"/>
      <c r="D10" s="51"/>
      <c r="E10" s="51"/>
      <c r="F10" s="51"/>
      <c r="G10" s="52"/>
      <c r="H10" s="35"/>
      <c r="I10" s="51"/>
      <c r="J10" s="194"/>
      <c r="K10" s="9"/>
    </row>
    <row r="11" spans="1:11" ht="12.75">
      <c r="A11" s="9" t="s">
        <v>68</v>
      </c>
      <c r="B11" s="9"/>
      <c r="C11" s="9"/>
      <c r="D11" s="35">
        <v>4138</v>
      </c>
      <c r="E11" s="35">
        <v>4492</v>
      </c>
      <c r="F11" s="35">
        <v>3631</v>
      </c>
      <c r="G11" s="37">
        <f>J11-F11</f>
        <v>4352</v>
      </c>
      <c r="H11" s="35"/>
      <c r="I11" s="35">
        <v>8630</v>
      </c>
      <c r="J11" s="153">
        <f>SUM(J5:J9)</f>
        <v>7983</v>
      </c>
      <c r="K11" s="9"/>
    </row>
    <row r="12" spans="1:11" ht="7.5" customHeight="1">
      <c r="A12" s="68"/>
      <c r="B12" s="9"/>
      <c r="C12" s="9"/>
      <c r="D12" s="35"/>
      <c r="E12" s="35"/>
      <c r="F12" s="35"/>
      <c r="G12" s="37"/>
      <c r="H12" s="35"/>
      <c r="I12" s="35"/>
      <c r="J12" s="153"/>
      <c r="K12" s="9"/>
    </row>
    <row r="13" spans="1:11" ht="12.75">
      <c r="A13" s="201" t="s">
        <v>187</v>
      </c>
      <c r="B13" s="69"/>
      <c r="C13" s="69"/>
      <c r="D13" s="145">
        <v>14</v>
      </c>
      <c r="E13" s="145">
        <v>26</v>
      </c>
      <c r="F13" s="145">
        <v>672</v>
      </c>
      <c r="G13" s="146">
        <f>J13-F13</f>
        <v>63</v>
      </c>
      <c r="H13" s="70"/>
      <c r="I13" s="145">
        <v>40</v>
      </c>
      <c r="J13" s="286">
        <f>647+88</f>
        <v>735</v>
      </c>
      <c r="K13" s="9"/>
    </row>
    <row r="14" spans="1:11" ht="12.75">
      <c r="A14" s="202" t="s">
        <v>229</v>
      </c>
      <c r="B14" s="71"/>
      <c r="C14" s="71"/>
      <c r="D14" s="51">
        <f>D11+D13</f>
        <v>4152</v>
      </c>
      <c r="E14" s="51">
        <f>E11+E13</f>
        <v>4518</v>
      </c>
      <c r="F14" s="51">
        <f>F11+F13</f>
        <v>4303</v>
      </c>
      <c r="G14" s="52">
        <f>J14-F14</f>
        <v>4415</v>
      </c>
      <c r="H14" s="51"/>
      <c r="I14" s="51">
        <f>I11+I13</f>
        <v>8670</v>
      </c>
      <c r="J14" s="286">
        <f>J11+J13</f>
        <v>8718</v>
      </c>
      <c r="K14" s="9"/>
    </row>
    <row r="15" spans="1:11" ht="7.5" customHeight="1">
      <c r="A15" s="14"/>
      <c r="B15" s="9"/>
      <c r="C15" s="9"/>
      <c r="D15" s="35"/>
      <c r="E15" s="35"/>
      <c r="F15" s="35"/>
      <c r="G15" s="37"/>
      <c r="H15" s="35"/>
      <c r="I15" s="35"/>
      <c r="J15" s="153"/>
      <c r="K15" s="9"/>
    </row>
    <row r="16" spans="1:11" ht="12.75">
      <c r="A16" s="39" t="s">
        <v>51</v>
      </c>
      <c r="B16" s="9"/>
      <c r="C16" s="9"/>
      <c r="D16" s="35">
        <v>-1487</v>
      </c>
      <c r="E16" s="35">
        <f>I16-D16</f>
        <v>-1328</v>
      </c>
      <c r="F16" s="35">
        <v>-1079</v>
      </c>
      <c r="G16" s="37">
        <f>J16-F16</f>
        <v>-1342</v>
      </c>
      <c r="H16" s="35"/>
      <c r="I16" s="35">
        <v>-2815</v>
      </c>
      <c r="J16" s="153">
        <v>-2421</v>
      </c>
      <c r="K16" s="9"/>
    </row>
    <row r="17" spans="1:11" ht="17.25" customHeight="1">
      <c r="A17" s="39" t="s">
        <v>231</v>
      </c>
      <c r="B17" s="9"/>
      <c r="C17" s="9"/>
      <c r="D17" s="35">
        <v>548</v>
      </c>
      <c r="E17" s="35">
        <f>I17-D17</f>
        <v>397</v>
      </c>
      <c r="F17" s="35">
        <v>340</v>
      </c>
      <c r="G17" s="37">
        <f>J17-F17</f>
        <v>415</v>
      </c>
      <c r="H17" s="35"/>
      <c r="I17" s="35">
        <v>945</v>
      </c>
      <c r="J17" s="153">
        <v>755</v>
      </c>
      <c r="K17" s="9"/>
    </row>
    <row r="18" spans="1:11" ht="15.75" customHeight="1">
      <c r="A18" s="39" t="s">
        <v>98</v>
      </c>
      <c r="B18" s="9"/>
      <c r="C18" s="9"/>
      <c r="D18" s="35">
        <v>-66</v>
      </c>
      <c r="E18" s="35">
        <f>I18-D18</f>
        <v>-47</v>
      </c>
      <c r="F18" s="35">
        <v>-78</v>
      </c>
      <c r="G18" s="37">
        <f>J18-F18</f>
        <v>-84</v>
      </c>
      <c r="H18" s="35"/>
      <c r="I18" s="35">
        <v>-113</v>
      </c>
      <c r="J18" s="153">
        <v>-162</v>
      </c>
      <c r="K18" s="9"/>
    </row>
    <row r="19" spans="1:11" ht="12.75">
      <c r="A19" s="50" t="s">
        <v>52</v>
      </c>
      <c r="B19" s="12"/>
      <c r="C19" s="9"/>
      <c r="D19" s="35">
        <v>240</v>
      </c>
      <c r="E19" s="35">
        <f>I19-D19</f>
        <v>198</v>
      </c>
      <c r="F19" s="35">
        <v>166</v>
      </c>
      <c r="G19" s="37">
        <f>J19-F19</f>
        <v>136</v>
      </c>
      <c r="H19" s="35"/>
      <c r="I19" s="35">
        <v>438</v>
      </c>
      <c r="J19" s="153">
        <v>302</v>
      </c>
      <c r="K19" s="9"/>
    </row>
    <row r="20" spans="1:11" ht="12.75">
      <c r="A20" s="50" t="s">
        <v>53</v>
      </c>
      <c r="B20" s="12"/>
      <c r="C20" s="9"/>
      <c r="D20" s="35">
        <v>-712</v>
      </c>
      <c r="E20" s="35">
        <f>I20-D20</f>
        <v>-833</v>
      </c>
      <c r="F20" s="35">
        <v>-551</v>
      </c>
      <c r="G20" s="37">
        <f>J20-F20</f>
        <v>-919</v>
      </c>
      <c r="H20" s="35"/>
      <c r="I20" s="35">
        <v>-1545</v>
      </c>
      <c r="J20" s="153">
        <v>-1470</v>
      </c>
      <c r="K20" s="9"/>
    </row>
    <row r="21" spans="1:11" ht="12.75">
      <c r="A21" s="50"/>
      <c r="B21" s="12"/>
      <c r="C21" s="9"/>
      <c r="D21" s="51"/>
      <c r="E21" s="51"/>
      <c r="F21" s="51"/>
      <c r="G21" s="52"/>
      <c r="H21" s="35"/>
      <c r="I21" s="51"/>
      <c r="J21" s="194"/>
      <c r="K21" s="9"/>
    </row>
    <row r="22" spans="1:11" ht="12.75">
      <c r="A22" s="50" t="s">
        <v>54</v>
      </c>
      <c r="B22" s="12"/>
      <c r="C22" s="9"/>
      <c r="D22" s="35">
        <f>SUM(D16:D20)+D11</f>
        <v>2661</v>
      </c>
      <c r="E22" s="35">
        <f>SUM(E16:E20)+E11</f>
        <v>2879</v>
      </c>
      <c r="F22" s="35">
        <f>SUM(F16:F20)+F11</f>
        <v>2429</v>
      </c>
      <c r="G22" s="37">
        <f>J22-F22</f>
        <v>2558</v>
      </c>
      <c r="H22" s="35"/>
      <c r="I22" s="35">
        <f>SUM(I16:I20)+I11</f>
        <v>5540</v>
      </c>
      <c r="J22" s="153">
        <f>SUM(J11,J16:J20)</f>
        <v>4987</v>
      </c>
      <c r="K22" s="9"/>
    </row>
    <row r="23" spans="1:11" ht="7.5" customHeight="1">
      <c r="A23" s="50"/>
      <c r="B23" s="12"/>
      <c r="C23" s="9"/>
      <c r="D23" s="35"/>
      <c r="E23" s="35"/>
      <c r="F23" s="35"/>
      <c r="G23" s="37"/>
      <c r="H23" s="35"/>
      <c r="I23" s="35"/>
      <c r="J23" s="153"/>
      <c r="K23" s="9"/>
    </row>
    <row r="24" spans="1:11" ht="12.75">
      <c r="A24" s="201" t="s">
        <v>187</v>
      </c>
      <c r="B24" s="69"/>
      <c r="C24" s="69"/>
      <c r="D24" s="145">
        <v>14</v>
      </c>
      <c r="E24" s="145">
        <v>26</v>
      </c>
      <c r="F24" s="145">
        <v>672</v>
      </c>
      <c r="G24" s="146">
        <f>J24-F24</f>
        <v>63</v>
      </c>
      <c r="H24" s="70"/>
      <c r="I24" s="145">
        <v>40</v>
      </c>
      <c r="J24" s="263">
        <v>735</v>
      </c>
      <c r="K24" s="9"/>
    </row>
    <row r="25" spans="1:11" ht="12.75">
      <c r="A25" s="202" t="s">
        <v>230</v>
      </c>
      <c r="B25" s="71"/>
      <c r="C25" s="71"/>
      <c r="D25" s="51">
        <f aca="true" t="shared" si="0" ref="D25:I25">SUM(D22:D24)</f>
        <v>2675</v>
      </c>
      <c r="E25" s="51">
        <f t="shared" si="0"/>
        <v>2905</v>
      </c>
      <c r="F25" s="51">
        <f t="shared" si="0"/>
        <v>3101</v>
      </c>
      <c r="G25" s="52">
        <f>J25-F25</f>
        <v>2621</v>
      </c>
      <c r="H25" s="51"/>
      <c r="I25" s="51">
        <f t="shared" si="0"/>
        <v>5580</v>
      </c>
      <c r="J25" s="194">
        <f>J22+J24</f>
        <v>5722</v>
      </c>
      <c r="K25" s="203"/>
    </row>
    <row r="26" spans="1:11" ht="7.5" customHeight="1">
      <c r="A26" s="14"/>
      <c r="B26" s="9"/>
      <c r="C26" s="9"/>
      <c r="D26" s="35"/>
      <c r="E26" s="35"/>
      <c r="F26" s="35"/>
      <c r="G26" s="37"/>
      <c r="H26" s="35"/>
      <c r="I26" s="35"/>
      <c r="J26" s="153"/>
      <c r="K26" s="9"/>
    </row>
    <row r="27" spans="1:11" ht="14.25">
      <c r="A27" s="50" t="s">
        <v>177</v>
      </c>
      <c r="B27" s="12"/>
      <c r="C27" s="9"/>
      <c r="D27" s="35">
        <v>-5973</v>
      </c>
      <c r="E27" s="35">
        <f>I27-D27</f>
        <v>-568</v>
      </c>
      <c r="F27" s="35">
        <v>-801</v>
      </c>
      <c r="G27" s="37">
        <f aca="true" t="shared" si="1" ref="G27:G33">J27-F27</f>
        <v>-529</v>
      </c>
      <c r="H27" s="35"/>
      <c r="I27" s="35">
        <v>-6541</v>
      </c>
      <c r="J27" s="153">
        <v>-1330</v>
      </c>
      <c r="K27" s="9"/>
    </row>
    <row r="28" spans="1:11" ht="14.25">
      <c r="A28" s="50" t="s">
        <v>188</v>
      </c>
      <c r="B28" s="12"/>
      <c r="C28" s="9"/>
      <c r="D28" s="43">
        <v>0</v>
      </c>
      <c r="E28" s="43">
        <v>0</v>
      </c>
      <c r="F28" s="35">
        <v>624</v>
      </c>
      <c r="G28" s="37">
        <f t="shared" si="1"/>
        <v>-6</v>
      </c>
      <c r="H28" s="35"/>
      <c r="I28" s="43">
        <v>0</v>
      </c>
      <c r="J28" s="183">
        <v>618</v>
      </c>
      <c r="K28" s="9"/>
    </row>
    <row r="29" spans="1:11" ht="12.75">
      <c r="A29" s="50" t="s">
        <v>184</v>
      </c>
      <c r="B29" s="12"/>
      <c r="C29" s="9"/>
      <c r="D29" s="35">
        <v>-2431</v>
      </c>
      <c r="E29" s="35">
        <f>I29-D29</f>
        <v>-90</v>
      </c>
      <c r="F29" s="35">
        <v>77</v>
      </c>
      <c r="G29" s="37">
        <f t="shared" si="1"/>
        <v>-81</v>
      </c>
      <c r="H29" s="35"/>
      <c r="I29" s="35">
        <v>-2521</v>
      </c>
      <c r="J29" s="153">
        <v>-4</v>
      </c>
      <c r="K29" s="9"/>
    </row>
    <row r="30" spans="1:11" ht="12.75">
      <c r="A30" s="50" t="s">
        <v>55</v>
      </c>
      <c r="B30" s="12"/>
      <c r="C30" s="9"/>
      <c r="D30" s="35">
        <v>-2334</v>
      </c>
      <c r="E30" s="35">
        <f>I30-D30</f>
        <v>-1324</v>
      </c>
      <c r="F30" s="35">
        <v>-2671</v>
      </c>
      <c r="G30" s="37">
        <f t="shared" si="1"/>
        <v>-1342</v>
      </c>
      <c r="H30" s="35"/>
      <c r="I30" s="35">
        <v>-3658</v>
      </c>
      <c r="J30" s="153">
        <v>-4013</v>
      </c>
      <c r="K30" s="9"/>
    </row>
    <row r="31" spans="1:11" ht="12.75">
      <c r="A31" s="50" t="s">
        <v>56</v>
      </c>
      <c r="B31" s="12"/>
      <c r="C31" s="9"/>
      <c r="D31" s="43">
        <v>0</v>
      </c>
      <c r="E31" s="43">
        <f>I31-D31</f>
        <v>0</v>
      </c>
      <c r="F31" s="35">
        <v>-963</v>
      </c>
      <c r="G31" s="44">
        <f t="shared" si="1"/>
        <v>0</v>
      </c>
      <c r="H31" s="35"/>
      <c r="I31" s="43">
        <v>0</v>
      </c>
      <c r="J31" s="151">
        <v>-963</v>
      </c>
      <c r="K31" s="9"/>
    </row>
    <row r="32" spans="1:11" ht="12.75">
      <c r="A32" s="50" t="s">
        <v>57</v>
      </c>
      <c r="B32" s="12"/>
      <c r="C32" s="9"/>
      <c r="D32" s="43">
        <v>0</v>
      </c>
      <c r="E32" s="35">
        <f>I32-D32</f>
        <v>-1</v>
      </c>
      <c r="F32" s="43">
        <v>0</v>
      </c>
      <c r="G32" s="44">
        <f t="shared" si="1"/>
        <v>0</v>
      </c>
      <c r="H32" s="35"/>
      <c r="I32" s="35">
        <v>-1</v>
      </c>
      <c r="J32" s="44">
        <v>0</v>
      </c>
      <c r="K32" s="9"/>
    </row>
    <row r="33" spans="1:11" ht="16.5" customHeight="1">
      <c r="A33" s="50" t="s">
        <v>232</v>
      </c>
      <c r="B33" s="12"/>
      <c r="C33" s="9"/>
      <c r="D33" s="35">
        <v>-127</v>
      </c>
      <c r="E33" s="35">
        <f>I33-D33</f>
        <v>-2790</v>
      </c>
      <c r="F33" s="35">
        <v>-1263</v>
      </c>
      <c r="G33" s="37">
        <f t="shared" si="1"/>
        <v>-7108</v>
      </c>
      <c r="H33" s="35"/>
      <c r="I33" s="35">
        <v>-2917</v>
      </c>
      <c r="J33" s="153">
        <v>-8371</v>
      </c>
      <c r="K33" s="9"/>
    </row>
    <row r="34" spans="1:11" ht="12.75">
      <c r="A34" s="50"/>
      <c r="B34" s="12"/>
      <c r="C34" s="9"/>
      <c r="D34" s="51"/>
      <c r="E34" s="51"/>
      <c r="F34" s="51"/>
      <c r="G34" s="52"/>
      <c r="H34" s="35"/>
      <c r="I34" s="51"/>
      <c r="J34" s="194"/>
      <c r="K34" s="9"/>
    </row>
    <row r="35" spans="1:11" ht="12.75">
      <c r="A35" s="50" t="s">
        <v>58</v>
      </c>
      <c r="B35" s="12"/>
      <c r="C35" s="9"/>
      <c r="D35" s="35">
        <v>-8204</v>
      </c>
      <c r="E35" s="35">
        <v>-1894</v>
      </c>
      <c r="F35" s="35">
        <v>-2568</v>
      </c>
      <c r="G35" s="37">
        <f>J35-F35</f>
        <v>-6508</v>
      </c>
      <c r="H35" s="35"/>
      <c r="I35" s="35">
        <v>-10098</v>
      </c>
      <c r="J35" s="153">
        <f>SUM(J22,J27:J33)</f>
        <v>-9076</v>
      </c>
      <c r="K35" s="9"/>
    </row>
    <row r="36" spans="1:11" ht="16.5" customHeight="1">
      <c r="A36" s="50" t="s">
        <v>59</v>
      </c>
      <c r="B36" s="12"/>
      <c r="C36" s="9"/>
      <c r="D36" s="35">
        <v>-15049</v>
      </c>
      <c r="E36" s="36">
        <v>-23253</v>
      </c>
      <c r="F36" s="35">
        <v>-25147</v>
      </c>
      <c r="G36" s="37">
        <f>F38</f>
        <v>-27715</v>
      </c>
      <c r="H36" s="35"/>
      <c r="I36" s="35">
        <v>-15049</v>
      </c>
      <c r="J36" s="153">
        <f>I38</f>
        <v>-25147</v>
      </c>
      <c r="K36" s="9"/>
    </row>
    <row r="37" spans="1:11" ht="12.75">
      <c r="A37" s="50"/>
      <c r="B37" s="12"/>
      <c r="C37" s="9"/>
      <c r="D37" s="35"/>
      <c r="E37" s="35"/>
      <c r="F37" s="35"/>
      <c r="G37" s="37"/>
      <c r="H37" s="35"/>
      <c r="I37" s="35"/>
      <c r="J37" s="153"/>
      <c r="K37" s="9"/>
    </row>
    <row r="38" spans="1:11" ht="15.75" customHeight="1" thickBot="1">
      <c r="A38" s="50" t="s">
        <v>60</v>
      </c>
      <c r="B38" s="12"/>
      <c r="C38" s="9"/>
      <c r="D38" s="53">
        <v>-23253</v>
      </c>
      <c r="E38" s="53">
        <v>-25147</v>
      </c>
      <c r="F38" s="53">
        <v>-27715</v>
      </c>
      <c r="G38" s="54">
        <f>G35+G36</f>
        <v>-34223</v>
      </c>
      <c r="H38" s="35"/>
      <c r="I38" s="53">
        <v>-25147</v>
      </c>
      <c r="J38" s="195">
        <f>J35+J36</f>
        <v>-34223</v>
      </c>
      <c r="K38" s="9"/>
    </row>
    <row r="39" spans="2:11" ht="13.5" thickTop="1">
      <c r="B39" s="74"/>
      <c r="C39" s="9"/>
      <c r="D39" s="35"/>
      <c r="E39" s="35"/>
      <c r="F39" s="35"/>
      <c r="G39" s="37"/>
      <c r="H39" s="35"/>
      <c r="I39" s="35"/>
      <c r="J39" s="153"/>
      <c r="K39" s="9"/>
    </row>
    <row r="40" spans="1:11" ht="12.75">
      <c r="A40" s="9" t="s">
        <v>96</v>
      </c>
      <c r="B40" s="74"/>
      <c r="C40" s="9"/>
      <c r="D40" s="35"/>
      <c r="E40" s="35"/>
      <c r="F40" s="35"/>
      <c r="G40" s="37"/>
      <c r="H40" s="35"/>
      <c r="I40" s="35"/>
      <c r="J40" s="153"/>
      <c r="K40" s="9"/>
    </row>
    <row r="41" spans="1:11" ht="12.75">
      <c r="A41" s="47" t="s">
        <v>99</v>
      </c>
      <c r="B41" s="333" t="s">
        <v>1</v>
      </c>
      <c r="C41" s="333"/>
      <c r="D41" s="333"/>
      <c r="E41" s="333"/>
      <c r="F41" s="333"/>
      <c r="G41" s="333"/>
      <c r="H41" s="333"/>
      <c r="I41" s="333"/>
      <c r="J41" s="333"/>
      <c r="K41" s="9"/>
    </row>
    <row r="42" spans="1:11" ht="12.75">
      <c r="A42" s="47"/>
      <c r="B42" s="333"/>
      <c r="C42" s="333"/>
      <c r="D42" s="333"/>
      <c r="E42" s="333"/>
      <c r="F42" s="333"/>
      <c r="G42" s="333"/>
      <c r="H42" s="333"/>
      <c r="I42" s="333"/>
      <c r="J42" s="333"/>
      <c r="K42" s="9"/>
    </row>
    <row r="43" spans="1:11" ht="12.75" customHeight="1">
      <c r="A43" s="47"/>
      <c r="B43" s="333"/>
      <c r="C43" s="333"/>
      <c r="D43" s="333"/>
      <c r="E43" s="333"/>
      <c r="F43" s="333"/>
      <c r="G43" s="333"/>
      <c r="H43" s="333"/>
      <c r="I43" s="333"/>
      <c r="J43" s="333"/>
      <c r="K43" s="9"/>
    </row>
    <row r="44" spans="1:11" ht="12.75">
      <c r="A44" s="47" t="s">
        <v>100</v>
      </c>
      <c r="B44" s="333" t="s">
        <v>2</v>
      </c>
      <c r="C44" s="333"/>
      <c r="D44" s="333"/>
      <c r="E44" s="333"/>
      <c r="F44" s="333"/>
      <c r="G44" s="333"/>
      <c r="H44" s="333"/>
      <c r="I44" s="333"/>
      <c r="J44" s="333"/>
      <c r="K44" s="9"/>
    </row>
    <row r="45" spans="1:11" ht="12.75">
      <c r="A45" s="47"/>
      <c r="B45" s="333"/>
      <c r="C45" s="333"/>
      <c r="D45" s="333"/>
      <c r="E45" s="333"/>
      <c r="F45" s="333"/>
      <c r="G45" s="333"/>
      <c r="H45" s="333"/>
      <c r="I45" s="333"/>
      <c r="J45" s="333"/>
      <c r="K45" s="9"/>
    </row>
    <row r="46" spans="2:11" ht="12.75" customHeight="1">
      <c r="B46" s="333"/>
      <c r="C46" s="333"/>
      <c r="D46" s="333"/>
      <c r="E46" s="333"/>
      <c r="F46" s="333"/>
      <c r="G46" s="333"/>
      <c r="H46" s="333"/>
      <c r="I46" s="333"/>
      <c r="J46" s="333"/>
      <c r="K46" s="9"/>
    </row>
    <row r="47" spans="1:11" ht="12.75">
      <c r="A47" s="47" t="s">
        <v>101</v>
      </c>
      <c r="B47" s="334" t="s">
        <v>179</v>
      </c>
      <c r="C47" s="334"/>
      <c r="D47" s="334"/>
      <c r="E47" s="334"/>
      <c r="F47" s="334"/>
      <c r="G47" s="334"/>
      <c r="H47" s="334"/>
      <c r="I47" s="334"/>
      <c r="J47" s="334"/>
      <c r="K47" s="9"/>
    </row>
  </sheetData>
  <mergeCells count="3">
    <mergeCell ref="B41:J43"/>
    <mergeCell ref="B44:J46"/>
    <mergeCell ref="B47:J47"/>
  </mergeCells>
  <printOptions/>
  <pageMargins left="0.7480314960629921" right="0.7480314960629921" top="0.984251968503937" bottom="0.984251968503937" header="0.5118110236220472" footer="0.5118110236220472"/>
  <pageSetup fitToHeight="1" fitToWidth="1" horizontalDpi="600" verticalDpi="600" orientation="portrait" paperSize="9" scale="74" r:id="rId1"/>
  <headerFooter alignWithMargins="0">
    <oddHeader>&amp;L&amp;"Vodafone Rg,Regular"Vodafone Group Plc&amp;C&amp;"Vodafone Rg,Regular"&amp;A</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2:AA64"/>
  <sheetViews>
    <sheetView showGridLines="0" view="pageBreakPreview" zoomScaleSheetLayoutView="100" workbookViewId="0" topLeftCell="A1">
      <pane xSplit="2" ySplit="5" topLeftCell="C6" activePane="bottomRight" state="frozen"/>
      <selection pane="topLeft" activeCell="B55" sqref="B55:J61"/>
      <selection pane="topRight" activeCell="B55" sqref="B55:J61"/>
      <selection pane="bottomLeft" activeCell="B55" sqref="B55:J61"/>
      <selection pane="bottomRight" activeCell="A1" sqref="A1"/>
    </sheetView>
  </sheetViews>
  <sheetFormatPr defaultColWidth="9.140625" defaultRowHeight="12.75"/>
  <cols>
    <col min="1" max="1" width="3.7109375" style="9" customWidth="1"/>
    <col min="2" max="2" width="18.8515625" style="10" customWidth="1"/>
    <col min="3" max="5" width="8.7109375" style="90" customWidth="1"/>
    <col min="6" max="6" width="8.7109375" style="91" customWidth="1"/>
    <col min="7" max="7" width="3.7109375" style="10" customWidth="1"/>
    <col min="8" max="10" width="8.7109375" style="90" customWidth="1"/>
    <col min="11" max="11" width="8.7109375" style="91" customWidth="1"/>
    <col min="12" max="12" width="3.7109375" style="10" customWidth="1"/>
    <col min="13" max="15" width="8.7109375" style="90" customWidth="1"/>
    <col min="16" max="16" width="8.7109375" style="91" customWidth="1"/>
    <col min="17" max="17" width="3.7109375" style="10" customWidth="1"/>
    <col min="18" max="20" width="8.7109375" style="90" customWidth="1"/>
    <col min="21" max="21" width="8.7109375" style="91" customWidth="1"/>
    <col min="22" max="22" width="3.7109375" style="10" customWidth="1"/>
    <col min="23" max="25" width="8.7109375" style="92" customWidth="1"/>
    <col min="26" max="26" width="8.7109375" style="93" customWidth="1"/>
    <col min="27" max="27" width="3.7109375" style="10" customWidth="1"/>
    <col min="28" max="28" width="9.140625" style="9" customWidth="1"/>
    <col min="29" max="16384" width="9.140625" style="10" customWidth="1"/>
  </cols>
  <sheetData>
    <row r="2" spans="1:27" ht="18">
      <c r="A2" s="284" t="s">
        <v>251</v>
      </c>
      <c r="B2" s="9"/>
      <c r="C2" s="13"/>
      <c r="D2" s="13"/>
      <c r="E2" s="13"/>
      <c r="F2" s="48"/>
      <c r="G2" s="9"/>
      <c r="H2" s="13"/>
      <c r="I2" s="13"/>
      <c r="J2" s="13"/>
      <c r="K2" s="48"/>
      <c r="L2" s="9"/>
      <c r="M2" s="13"/>
      <c r="N2" s="13"/>
      <c r="O2" s="13"/>
      <c r="P2" s="48"/>
      <c r="Q2" s="9"/>
      <c r="R2" s="13"/>
      <c r="S2" s="13"/>
      <c r="T2" s="13"/>
      <c r="U2" s="48"/>
      <c r="V2" s="9"/>
      <c r="W2" s="11"/>
      <c r="X2" s="11"/>
      <c r="Y2" s="11"/>
      <c r="Z2" s="75"/>
      <c r="AA2" s="9"/>
    </row>
    <row r="3" spans="2:27" ht="12.75" customHeight="1">
      <c r="B3" s="76"/>
      <c r="C3" s="335" t="s">
        <v>65</v>
      </c>
      <c r="D3" s="335"/>
      <c r="E3" s="335"/>
      <c r="F3" s="335"/>
      <c r="G3" s="77"/>
      <c r="H3" s="335" t="s">
        <v>22</v>
      </c>
      <c r="I3" s="335"/>
      <c r="J3" s="335"/>
      <c r="K3" s="335"/>
      <c r="L3" s="77"/>
      <c r="M3" s="335" t="s">
        <v>66</v>
      </c>
      <c r="N3" s="335"/>
      <c r="O3" s="335"/>
      <c r="P3" s="335"/>
      <c r="Q3" s="77"/>
      <c r="R3" s="335" t="s">
        <v>67</v>
      </c>
      <c r="S3" s="335"/>
      <c r="T3" s="335"/>
      <c r="U3" s="335"/>
      <c r="V3" s="77"/>
      <c r="W3" s="335" t="s">
        <v>255</v>
      </c>
      <c r="X3" s="335"/>
      <c r="Y3" s="335"/>
      <c r="Z3" s="335"/>
      <c r="AA3" s="9"/>
    </row>
    <row r="4" spans="2:27" ht="12.75">
      <c r="B4" s="76"/>
      <c r="C4" s="77" t="s">
        <v>157</v>
      </c>
      <c r="D4" s="77" t="s">
        <v>155</v>
      </c>
      <c r="E4" s="77" t="s">
        <v>169</v>
      </c>
      <c r="F4" s="78" t="s">
        <v>196</v>
      </c>
      <c r="G4" s="77"/>
      <c r="H4" s="77" t="s">
        <v>157</v>
      </c>
      <c r="I4" s="77" t="s">
        <v>155</v>
      </c>
      <c r="J4" s="77" t="s">
        <v>169</v>
      </c>
      <c r="K4" s="78" t="s">
        <v>196</v>
      </c>
      <c r="L4" s="77"/>
      <c r="M4" s="77" t="s">
        <v>157</v>
      </c>
      <c r="N4" s="77" t="s">
        <v>155</v>
      </c>
      <c r="O4" s="77" t="s">
        <v>165</v>
      </c>
      <c r="P4" s="78" t="s">
        <v>196</v>
      </c>
      <c r="Q4" s="77"/>
      <c r="R4" s="77" t="s">
        <v>157</v>
      </c>
      <c r="S4" s="77" t="s">
        <v>155</v>
      </c>
      <c r="T4" s="77" t="s">
        <v>169</v>
      </c>
      <c r="U4" s="78" t="s">
        <v>196</v>
      </c>
      <c r="V4" s="77"/>
      <c r="W4" s="77" t="s">
        <v>157</v>
      </c>
      <c r="X4" s="77" t="s">
        <v>155</v>
      </c>
      <c r="Y4" s="77" t="s">
        <v>169</v>
      </c>
      <c r="Z4" s="78" t="s">
        <v>196</v>
      </c>
      <c r="AA4" s="9"/>
    </row>
    <row r="5" spans="2:27" ht="12.75">
      <c r="B5" s="76"/>
      <c r="C5" s="77" t="s">
        <v>80</v>
      </c>
      <c r="D5" s="77" t="s">
        <v>80</v>
      </c>
      <c r="E5" s="77" t="s">
        <v>80</v>
      </c>
      <c r="F5" s="78" t="s">
        <v>80</v>
      </c>
      <c r="G5" s="77"/>
      <c r="H5" s="77" t="s">
        <v>80</v>
      </c>
      <c r="I5" s="77" t="s">
        <v>80</v>
      </c>
      <c r="J5" s="77" t="s">
        <v>80</v>
      </c>
      <c r="K5" s="78" t="s">
        <v>80</v>
      </c>
      <c r="L5" s="77"/>
      <c r="M5" s="77" t="s">
        <v>80</v>
      </c>
      <c r="N5" s="77" t="s">
        <v>80</v>
      </c>
      <c r="O5" s="77" t="s">
        <v>80</v>
      </c>
      <c r="P5" s="78" t="s">
        <v>80</v>
      </c>
      <c r="Q5" s="77"/>
      <c r="R5" s="77" t="s">
        <v>80</v>
      </c>
      <c r="S5" s="77" t="s">
        <v>80</v>
      </c>
      <c r="T5" s="77" t="s">
        <v>80</v>
      </c>
      <c r="U5" s="78" t="s">
        <v>80</v>
      </c>
      <c r="V5" s="77"/>
      <c r="W5" s="77" t="s">
        <v>80</v>
      </c>
      <c r="X5" s="77" t="s">
        <v>80</v>
      </c>
      <c r="Y5" s="77" t="s">
        <v>80</v>
      </c>
      <c r="Z5" s="78" t="s">
        <v>80</v>
      </c>
      <c r="AA5" s="9"/>
    </row>
    <row r="6" spans="1:27" ht="12.75">
      <c r="A6" s="57" t="s">
        <v>15</v>
      </c>
      <c r="B6" s="9"/>
      <c r="C6" s="77"/>
      <c r="D6" s="77"/>
      <c r="E6" s="77"/>
      <c r="F6" s="78"/>
      <c r="G6" s="79"/>
      <c r="H6" s="77"/>
      <c r="I6" s="77"/>
      <c r="J6" s="77"/>
      <c r="K6" s="78"/>
      <c r="L6" s="79"/>
      <c r="M6" s="77"/>
      <c r="N6" s="77"/>
      <c r="O6" s="77"/>
      <c r="P6" s="78"/>
      <c r="Q6" s="79"/>
      <c r="R6" s="77"/>
      <c r="S6" s="77"/>
      <c r="T6" s="77"/>
      <c r="U6" s="78"/>
      <c r="V6" s="79"/>
      <c r="W6" s="80"/>
      <c r="X6" s="80"/>
      <c r="Y6" s="80"/>
      <c r="Z6" s="81"/>
      <c r="AA6" s="9"/>
    </row>
    <row r="7" spans="1:27" ht="12.75">
      <c r="A7" s="50"/>
      <c r="B7" s="9"/>
      <c r="C7" s="77"/>
      <c r="D7" s="77"/>
      <c r="E7" s="77"/>
      <c r="F7" s="78"/>
      <c r="G7" s="79"/>
      <c r="H7" s="77"/>
      <c r="I7" s="77"/>
      <c r="J7" s="77"/>
      <c r="K7" s="78"/>
      <c r="L7" s="79"/>
      <c r="M7" s="77"/>
      <c r="N7" s="77"/>
      <c r="O7" s="77"/>
      <c r="P7" s="78"/>
      <c r="Q7" s="79"/>
      <c r="R7" s="77"/>
      <c r="S7" s="77"/>
      <c r="T7" s="77"/>
      <c r="U7" s="78"/>
      <c r="V7" s="79"/>
      <c r="W7" s="80"/>
      <c r="X7" s="80"/>
      <c r="Y7" s="80"/>
      <c r="Z7" s="81"/>
      <c r="AA7" s="9"/>
    </row>
    <row r="8" spans="1:27" ht="12.75">
      <c r="A8" s="50" t="s">
        <v>16</v>
      </c>
      <c r="B8" s="9"/>
      <c r="C8" s="35">
        <v>3351</v>
      </c>
      <c r="D8" s="35">
        <v>3515</v>
      </c>
      <c r="E8" s="35">
        <v>3758</v>
      </c>
      <c r="F8" s="37">
        <f>7847-E8</f>
        <v>4089</v>
      </c>
      <c r="G8" s="84"/>
      <c r="H8" s="35">
        <v>1288</v>
      </c>
      <c r="I8" s="35">
        <v>1379</v>
      </c>
      <c r="J8" s="35">
        <v>1493</v>
      </c>
      <c r="K8" s="37">
        <f>3058-J8</f>
        <v>1565</v>
      </c>
      <c r="L8" s="84"/>
      <c r="M8" s="35">
        <v>736</v>
      </c>
      <c r="N8" s="35">
        <v>754</v>
      </c>
      <c r="O8" s="35">
        <v>870</v>
      </c>
      <c r="P8" s="37">
        <f>1728-O8</f>
        <v>858</v>
      </c>
      <c r="Q8" s="84"/>
      <c r="R8" s="35">
        <v>261</v>
      </c>
      <c r="S8" s="35">
        <v>352</v>
      </c>
      <c r="T8" s="35">
        <v>289</v>
      </c>
      <c r="U8" s="37">
        <f>750-T8</f>
        <v>461</v>
      </c>
      <c r="V8" s="84"/>
      <c r="W8" s="35">
        <v>1115</v>
      </c>
      <c r="X8" s="35">
        <v>1075</v>
      </c>
      <c r="Y8" s="35">
        <v>1184</v>
      </c>
      <c r="Z8" s="37">
        <f>2282-Y8</f>
        <v>1098</v>
      </c>
      <c r="AA8" s="9"/>
    </row>
    <row r="9" spans="1:27" ht="12.75">
      <c r="A9" s="50" t="s">
        <v>17</v>
      </c>
      <c r="B9" s="9"/>
      <c r="C9" s="35">
        <v>2097</v>
      </c>
      <c r="D9" s="35">
        <v>2338</v>
      </c>
      <c r="E9" s="35">
        <v>2652</v>
      </c>
      <c r="F9" s="37">
        <f>5547-E9</f>
        <v>2895</v>
      </c>
      <c r="G9" s="84"/>
      <c r="H9" s="35">
        <v>1036</v>
      </c>
      <c r="I9" s="35">
        <v>1122</v>
      </c>
      <c r="J9" s="35">
        <v>1190</v>
      </c>
      <c r="K9" s="37">
        <f>2424-J9</f>
        <v>1234</v>
      </c>
      <c r="L9" s="84"/>
      <c r="M9" s="35">
        <v>776</v>
      </c>
      <c r="N9" s="35">
        <v>797</v>
      </c>
      <c r="O9" s="35">
        <v>860</v>
      </c>
      <c r="P9" s="37">
        <f>1734-O9</f>
        <v>874</v>
      </c>
      <c r="Q9" s="84"/>
      <c r="R9" s="35">
        <v>145</v>
      </c>
      <c r="S9" s="35">
        <v>266</v>
      </c>
      <c r="T9" s="35">
        <v>235</v>
      </c>
      <c r="U9" s="37">
        <f>521-T9</f>
        <v>286</v>
      </c>
      <c r="V9" s="84"/>
      <c r="W9" s="35">
        <v>837</v>
      </c>
      <c r="X9" s="35">
        <v>931</v>
      </c>
      <c r="Y9" s="35">
        <v>850</v>
      </c>
      <c r="Z9" s="37">
        <f>1825-Y9</f>
        <v>975</v>
      </c>
      <c r="AA9" s="9"/>
    </row>
    <row r="10" spans="1:27" ht="12.75">
      <c r="A10" s="50" t="s">
        <v>69</v>
      </c>
      <c r="B10" s="9"/>
      <c r="C10" s="35">
        <v>2439</v>
      </c>
      <c r="D10" s="35">
        <v>2624</v>
      </c>
      <c r="E10" s="35">
        <v>2888</v>
      </c>
      <c r="F10" s="37">
        <f>5812-E10</f>
        <v>2924</v>
      </c>
      <c r="G10" s="84"/>
      <c r="H10" s="35">
        <v>949</v>
      </c>
      <c r="I10" s="35">
        <v>857</v>
      </c>
      <c r="J10" s="35">
        <v>996</v>
      </c>
      <c r="K10" s="37">
        <f>1897-J10</f>
        <v>901</v>
      </c>
      <c r="L10" s="84"/>
      <c r="M10" s="35">
        <v>715</v>
      </c>
      <c r="N10" s="35">
        <v>567</v>
      </c>
      <c r="O10" s="35">
        <v>719</v>
      </c>
      <c r="P10" s="37">
        <f>1323-O10</f>
        <v>604</v>
      </c>
      <c r="Q10" s="84"/>
      <c r="R10" s="35">
        <v>194</v>
      </c>
      <c r="S10" s="35">
        <v>339</v>
      </c>
      <c r="T10" s="35">
        <v>226</v>
      </c>
      <c r="U10" s="37">
        <f>632-T10</f>
        <v>406</v>
      </c>
      <c r="V10" s="84"/>
      <c r="W10" s="35">
        <v>595</v>
      </c>
      <c r="X10" s="35">
        <v>788</v>
      </c>
      <c r="Y10" s="35">
        <v>616</v>
      </c>
      <c r="Z10" s="37">
        <f>1487-Y10</f>
        <v>871</v>
      </c>
      <c r="AA10" s="9"/>
    </row>
    <row r="11" spans="1:27" ht="12.75">
      <c r="A11" s="50" t="s">
        <v>70</v>
      </c>
      <c r="B11" s="9"/>
      <c r="C11" s="35">
        <v>2717</v>
      </c>
      <c r="D11" s="35">
        <v>2707</v>
      </c>
      <c r="E11" s="35">
        <v>2714</v>
      </c>
      <c r="F11" s="37">
        <f>5392-E11</f>
        <v>2678</v>
      </c>
      <c r="G11" s="84"/>
      <c r="H11" s="35">
        <v>734</v>
      </c>
      <c r="I11" s="35">
        <v>697</v>
      </c>
      <c r="J11" s="35">
        <v>630</v>
      </c>
      <c r="K11" s="37">
        <f>1219-J11</f>
        <v>589</v>
      </c>
      <c r="L11" s="84"/>
      <c r="M11" s="35">
        <v>243</v>
      </c>
      <c r="N11" s="35">
        <v>188</v>
      </c>
      <c r="O11" s="35">
        <v>134</v>
      </c>
      <c r="P11" s="37">
        <f>235-O11</f>
        <v>101</v>
      </c>
      <c r="Q11" s="84"/>
      <c r="R11" s="35">
        <v>216</v>
      </c>
      <c r="S11" s="35">
        <v>249</v>
      </c>
      <c r="T11" s="35">
        <v>164</v>
      </c>
      <c r="U11" s="37">
        <f>446-T11</f>
        <v>282</v>
      </c>
      <c r="V11" s="84"/>
      <c r="W11" s="35">
        <v>430</v>
      </c>
      <c r="X11" s="35">
        <v>506</v>
      </c>
      <c r="Y11" s="35">
        <v>391</v>
      </c>
      <c r="Z11" s="37">
        <f>785-Y11</f>
        <v>394</v>
      </c>
      <c r="AA11" s="9"/>
    </row>
    <row r="12" spans="1:27" ht="12.75">
      <c r="A12" s="50"/>
      <c r="B12" s="9"/>
      <c r="C12" s="35"/>
      <c r="D12" s="35"/>
      <c r="E12" s="35"/>
      <c r="F12" s="37"/>
      <c r="G12" s="84"/>
      <c r="H12" s="82"/>
      <c r="I12" s="82"/>
      <c r="J12" s="35"/>
      <c r="K12" s="37"/>
      <c r="L12" s="84"/>
      <c r="M12" s="35"/>
      <c r="N12" s="35"/>
      <c r="O12" s="35"/>
      <c r="P12" s="37"/>
      <c r="Q12" s="84"/>
      <c r="R12" s="82"/>
      <c r="S12" s="82"/>
      <c r="T12" s="35"/>
      <c r="U12" s="37"/>
      <c r="V12" s="84"/>
      <c r="W12" s="35"/>
      <c r="X12" s="35"/>
      <c r="Y12" s="35"/>
      <c r="Z12" s="37"/>
      <c r="AA12" s="9"/>
    </row>
    <row r="13" spans="1:27" ht="12.75">
      <c r="A13" s="50" t="s">
        <v>71</v>
      </c>
      <c r="B13" s="9"/>
      <c r="C13" s="35"/>
      <c r="D13" s="35"/>
      <c r="E13" s="35"/>
      <c r="F13" s="37"/>
      <c r="G13" s="84"/>
      <c r="H13" s="82"/>
      <c r="I13" s="82"/>
      <c r="J13" s="35"/>
      <c r="K13" s="37"/>
      <c r="L13" s="84"/>
      <c r="M13" s="35"/>
      <c r="N13" s="35"/>
      <c r="O13" s="35"/>
      <c r="P13" s="37"/>
      <c r="Q13" s="84"/>
      <c r="R13" s="82"/>
      <c r="S13" s="82"/>
      <c r="T13" s="35"/>
      <c r="U13" s="37"/>
      <c r="V13" s="84"/>
      <c r="W13" s="35"/>
      <c r="X13" s="35"/>
      <c r="Y13" s="35"/>
      <c r="Z13" s="37"/>
      <c r="AA13" s="9"/>
    </row>
    <row r="14" spans="1:27" ht="12.75">
      <c r="A14" s="50" t="s">
        <v>72</v>
      </c>
      <c r="B14" s="9"/>
      <c r="C14" s="35">
        <v>599</v>
      </c>
      <c r="D14" s="35">
        <v>578</v>
      </c>
      <c r="E14" s="35">
        <v>642</v>
      </c>
      <c r="F14" s="37">
        <f>1251-E14</f>
        <v>609</v>
      </c>
      <c r="G14" s="84"/>
      <c r="H14" s="35">
        <v>210</v>
      </c>
      <c r="I14" s="35">
        <v>199</v>
      </c>
      <c r="J14" s="35">
        <v>215</v>
      </c>
      <c r="K14" s="37">
        <f>410-J14</f>
        <v>195</v>
      </c>
      <c r="L14" s="84"/>
      <c r="M14" s="35">
        <v>130</v>
      </c>
      <c r="N14" s="35">
        <v>104</v>
      </c>
      <c r="O14" s="35">
        <v>116</v>
      </c>
      <c r="P14" s="37">
        <f>204-O14</f>
        <v>88</v>
      </c>
      <c r="Q14" s="84"/>
      <c r="R14" s="35">
        <v>66</v>
      </c>
      <c r="S14" s="35">
        <v>61</v>
      </c>
      <c r="T14" s="35">
        <v>77</v>
      </c>
      <c r="U14" s="37">
        <f>140-T14</f>
        <v>63</v>
      </c>
      <c r="V14" s="84"/>
      <c r="W14" s="35">
        <v>159</v>
      </c>
      <c r="X14" s="35">
        <v>153</v>
      </c>
      <c r="Y14" s="35">
        <v>107</v>
      </c>
      <c r="Z14" s="37">
        <f>254-Y14</f>
        <v>147</v>
      </c>
      <c r="AA14" s="9"/>
    </row>
    <row r="15" spans="1:27" ht="12.75">
      <c r="A15" s="50" t="s">
        <v>73</v>
      </c>
      <c r="B15" s="9"/>
      <c r="C15" s="35">
        <v>628</v>
      </c>
      <c r="D15" s="35">
        <v>672</v>
      </c>
      <c r="E15" s="35">
        <v>790</v>
      </c>
      <c r="F15" s="37">
        <f>1653-E15</f>
        <v>863</v>
      </c>
      <c r="G15" s="84"/>
      <c r="H15" s="35">
        <v>214</v>
      </c>
      <c r="I15" s="35">
        <v>189</v>
      </c>
      <c r="J15" s="35">
        <v>242</v>
      </c>
      <c r="K15" s="37">
        <f>493-J15</f>
        <v>251</v>
      </c>
      <c r="L15" s="84"/>
      <c r="M15" s="35">
        <v>141</v>
      </c>
      <c r="N15" s="35">
        <v>105</v>
      </c>
      <c r="O15" s="35">
        <v>149</v>
      </c>
      <c r="P15" s="37">
        <f>301-O15</f>
        <v>152</v>
      </c>
      <c r="Q15" s="84"/>
      <c r="R15" s="35">
        <v>41</v>
      </c>
      <c r="S15" s="35">
        <v>82</v>
      </c>
      <c r="T15" s="35">
        <v>47</v>
      </c>
      <c r="U15" s="37">
        <f>131-T15</f>
        <v>84</v>
      </c>
      <c r="V15" s="84"/>
      <c r="W15" s="35">
        <v>139</v>
      </c>
      <c r="X15" s="35">
        <v>112</v>
      </c>
      <c r="Y15" s="35">
        <v>188</v>
      </c>
      <c r="Z15" s="37">
        <f>335-Y15</f>
        <v>147</v>
      </c>
      <c r="AA15" s="9"/>
    </row>
    <row r="16" spans="1:27" ht="12.75">
      <c r="A16" s="50" t="s">
        <v>74</v>
      </c>
      <c r="B16" s="9"/>
      <c r="C16" s="35">
        <v>502</v>
      </c>
      <c r="D16" s="35">
        <v>538</v>
      </c>
      <c r="E16" s="35">
        <v>605</v>
      </c>
      <c r="F16" s="37">
        <f>1210-E16</f>
        <v>605</v>
      </c>
      <c r="G16" s="84"/>
      <c r="H16" s="35">
        <v>186</v>
      </c>
      <c r="I16" s="35">
        <v>187</v>
      </c>
      <c r="J16" s="35">
        <v>233</v>
      </c>
      <c r="K16" s="37">
        <f>443-J16</f>
        <v>210</v>
      </c>
      <c r="L16" s="84"/>
      <c r="M16" s="35">
        <v>122</v>
      </c>
      <c r="N16" s="35">
        <v>117</v>
      </c>
      <c r="O16" s="35">
        <v>158</v>
      </c>
      <c r="P16" s="37">
        <f>283-O16</f>
        <v>125</v>
      </c>
      <c r="Q16" s="84"/>
      <c r="R16" s="35">
        <v>42</v>
      </c>
      <c r="S16" s="35">
        <v>81</v>
      </c>
      <c r="T16" s="35">
        <v>57</v>
      </c>
      <c r="U16" s="37">
        <f>130-T16</f>
        <v>73</v>
      </c>
      <c r="V16" s="84"/>
      <c r="W16" s="35">
        <v>87</v>
      </c>
      <c r="X16" s="35">
        <v>153</v>
      </c>
      <c r="Y16" s="35">
        <v>114</v>
      </c>
      <c r="Z16" s="37">
        <f>292-Y16</f>
        <v>178</v>
      </c>
      <c r="AA16" s="9"/>
    </row>
    <row r="17" spans="1:27" ht="14.25">
      <c r="A17" s="50" t="s">
        <v>252</v>
      </c>
      <c r="B17" s="9"/>
      <c r="C17" s="35">
        <v>514</v>
      </c>
      <c r="D17" s="35">
        <v>552</v>
      </c>
      <c r="E17" s="35">
        <v>599</v>
      </c>
      <c r="F17" s="37">
        <f>1215-E17</f>
        <v>616</v>
      </c>
      <c r="G17" s="84"/>
      <c r="H17" s="35">
        <v>217</v>
      </c>
      <c r="I17" s="35">
        <v>226</v>
      </c>
      <c r="J17" s="35">
        <v>242</v>
      </c>
      <c r="K17" s="37">
        <f>478-J17</f>
        <v>236</v>
      </c>
      <c r="L17" s="84"/>
      <c r="M17" s="35">
        <v>145</v>
      </c>
      <c r="N17" s="35">
        <v>141</v>
      </c>
      <c r="O17" s="35">
        <v>163</v>
      </c>
      <c r="P17" s="37">
        <f>304-O17</f>
        <v>141</v>
      </c>
      <c r="Q17" s="84"/>
      <c r="R17" s="35">
        <v>30</v>
      </c>
      <c r="S17" s="35">
        <v>66</v>
      </c>
      <c r="T17" s="35">
        <v>31</v>
      </c>
      <c r="U17" s="37">
        <f>110-T17</f>
        <v>79</v>
      </c>
      <c r="V17" s="84"/>
      <c r="W17" s="35">
        <v>159</v>
      </c>
      <c r="X17" s="35">
        <v>187</v>
      </c>
      <c r="Y17" s="35">
        <v>202</v>
      </c>
      <c r="Z17" s="37">
        <f>388-Y17</f>
        <v>186</v>
      </c>
      <c r="AA17" s="9"/>
    </row>
    <row r="18" spans="1:27" ht="12.75">
      <c r="A18" s="50" t="s">
        <v>158</v>
      </c>
      <c r="B18" s="9"/>
      <c r="C18" s="72">
        <v>0</v>
      </c>
      <c r="D18" s="72">
        <v>0</v>
      </c>
      <c r="E18" s="72">
        <v>0</v>
      </c>
      <c r="F18" s="73">
        <f>0-E18</f>
        <v>0</v>
      </c>
      <c r="G18" s="43"/>
      <c r="H18" s="72">
        <v>0</v>
      </c>
      <c r="I18" s="72">
        <v>0</v>
      </c>
      <c r="J18" s="72">
        <v>0</v>
      </c>
      <c r="K18" s="73">
        <f>0-J18</f>
        <v>0</v>
      </c>
      <c r="L18" s="84"/>
      <c r="M18" s="51">
        <v>261</v>
      </c>
      <c r="N18" s="51">
        <v>164</v>
      </c>
      <c r="O18" s="51">
        <v>294</v>
      </c>
      <c r="P18" s="52">
        <f>519-O18</f>
        <v>225</v>
      </c>
      <c r="Q18" s="84"/>
      <c r="R18" s="72">
        <v>0</v>
      </c>
      <c r="S18" s="72">
        <v>0</v>
      </c>
      <c r="T18" s="72">
        <v>0</v>
      </c>
      <c r="U18" s="73">
        <v>0</v>
      </c>
      <c r="V18" s="84"/>
      <c r="W18" s="72">
        <v>0</v>
      </c>
      <c r="X18" s="72">
        <v>0</v>
      </c>
      <c r="Y18" s="72">
        <v>0</v>
      </c>
      <c r="Z18" s="73">
        <v>0</v>
      </c>
      <c r="AA18" s="9"/>
    </row>
    <row r="19" spans="1:27" ht="12.75">
      <c r="A19" s="50"/>
      <c r="B19" s="9"/>
      <c r="C19" s="35">
        <v>2243</v>
      </c>
      <c r="D19" s="35">
        <v>2340</v>
      </c>
      <c r="E19" s="35">
        <v>2636</v>
      </c>
      <c r="F19" s="37">
        <f>5329-E19</f>
        <v>2693</v>
      </c>
      <c r="G19" s="84"/>
      <c r="H19" s="35">
        <v>827</v>
      </c>
      <c r="I19" s="35">
        <v>801</v>
      </c>
      <c r="J19" s="35">
        <v>932</v>
      </c>
      <c r="K19" s="37">
        <f>1824-J19</f>
        <v>892</v>
      </c>
      <c r="L19" s="84"/>
      <c r="M19" s="35">
        <v>799</v>
      </c>
      <c r="N19" s="35">
        <v>631</v>
      </c>
      <c r="O19" s="35">
        <v>880</v>
      </c>
      <c r="P19" s="37">
        <f>1611-O19</f>
        <v>731</v>
      </c>
      <c r="Q19" s="84"/>
      <c r="R19" s="35">
        <v>179</v>
      </c>
      <c r="S19" s="35">
        <v>290</v>
      </c>
      <c r="T19" s="35">
        <v>212</v>
      </c>
      <c r="U19" s="37">
        <f>511-T19</f>
        <v>299</v>
      </c>
      <c r="V19" s="84"/>
      <c r="W19" s="35">
        <v>544</v>
      </c>
      <c r="X19" s="85">
        <v>605</v>
      </c>
      <c r="Y19" s="85">
        <v>611</v>
      </c>
      <c r="Z19" s="86">
        <f>1269-Y19</f>
        <v>658</v>
      </c>
      <c r="AA19" s="9"/>
    </row>
    <row r="20" spans="1:27" ht="12.75">
      <c r="A20" s="50"/>
      <c r="B20" s="9"/>
      <c r="C20" s="82"/>
      <c r="D20" s="82"/>
      <c r="E20" s="35"/>
      <c r="F20" s="37"/>
      <c r="G20" s="84"/>
      <c r="H20" s="35"/>
      <c r="I20" s="35"/>
      <c r="J20" s="82"/>
      <c r="K20" s="37"/>
      <c r="L20" s="84"/>
      <c r="M20" s="82"/>
      <c r="N20" s="82"/>
      <c r="O20" s="82"/>
      <c r="P20" s="37"/>
      <c r="Q20" s="84"/>
      <c r="R20" s="82"/>
      <c r="S20" s="82"/>
      <c r="T20" s="82"/>
      <c r="U20" s="83"/>
      <c r="V20" s="84"/>
      <c r="W20" s="85"/>
      <c r="X20" s="85"/>
      <c r="Y20" s="85"/>
      <c r="Z20" s="86"/>
      <c r="AA20" s="9"/>
    </row>
    <row r="21" spans="1:27" ht="12.75">
      <c r="A21" s="50" t="s">
        <v>191</v>
      </c>
      <c r="B21" s="9"/>
      <c r="C21" s="51">
        <v>-178</v>
      </c>
      <c r="D21" s="51">
        <v>-112</v>
      </c>
      <c r="E21" s="51">
        <v>-168</v>
      </c>
      <c r="F21" s="52">
        <f>-293-E21</f>
        <v>-125</v>
      </c>
      <c r="G21" s="84"/>
      <c r="H21" s="72">
        <v>0</v>
      </c>
      <c r="I21" s="72">
        <v>0</v>
      </c>
      <c r="J21" s="72">
        <v>0</v>
      </c>
      <c r="K21" s="73">
        <f>0-J21</f>
        <v>0</v>
      </c>
      <c r="L21" s="84"/>
      <c r="M21" s="72">
        <v>0</v>
      </c>
      <c r="N21" s="72">
        <v>0</v>
      </c>
      <c r="O21" s="72">
        <v>0</v>
      </c>
      <c r="P21" s="73">
        <f>0-O21</f>
        <v>0</v>
      </c>
      <c r="Q21" s="84"/>
      <c r="R21" s="72">
        <v>0</v>
      </c>
      <c r="S21" s="72">
        <v>0</v>
      </c>
      <c r="T21" s="72">
        <v>0</v>
      </c>
      <c r="U21" s="73">
        <v>0</v>
      </c>
      <c r="V21" s="84"/>
      <c r="W21" s="72">
        <v>0</v>
      </c>
      <c r="X21" s="72">
        <v>0</v>
      </c>
      <c r="Y21" s="72">
        <v>0</v>
      </c>
      <c r="Z21" s="73">
        <v>0</v>
      </c>
      <c r="AA21" s="9"/>
    </row>
    <row r="22" spans="1:27" ht="12.75">
      <c r="A22" s="50"/>
      <c r="B22" s="9"/>
      <c r="C22" s="35">
        <v>12669</v>
      </c>
      <c r="D22" s="35">
        <v>13412</v>
      </c>
      <c r="E22" s="35">
        <v>14480</v>
      </c>
      <c r="F22" s="37">
        <f>29634-E22</f>
        <v>15154</v>
      </c>
      <c r="G22" s="84"/>
      <c r="H22" s="35">
        <v>4834</v>
      </c>
      <c r="I22" s="35">
        <v>4856</v>
      </c>
      <c r="J22" s="35">
        <v>5241</v>
      </c>
      <c r="K22" s="37">
        <f>10422-J22</f>
        <v>5181</v>
      </c>
      <c r="L22" s="84"/>
      <c r="M22" s="35">
        <v>3269</v>
      </c>
      <c r="N22" s="35">
        <v>2937</v>
      </c>
      <c r="O22" s="35">
        <v>3463</v>
      </c>
      <c r="P22" s="37">
        <f>6631-O22</f>
        <v>3168</v>
      </c>
      <c r="Q22" s="84"/>
      <c r="R22" s="35">
        <v>995</v>
      </c>
      <c r="S22" s="35">
        <v>1496</v>
      </c>
      <c r="T22" s="35">
        <v>1126</v>
      </c>
      <c r="U22" s="37">
        <f>2860-T22</f>
        <v>1734</v>
      </c>
      <c r="V22" s="84"/>
      <c r="W22" s="35">
        <v>3521</v>
      </c>
      <c r="X22" s="85">
        <v>3905</v>
      </c>
      <c r="Y22" s="85">
        <v>3652</v>
      </c>
      <c r="Z22" s="86">
        <f>7648-Y22</f>
        <v>3996</v>
      </c>
      <c r="AA22" s="9"/>
    </row>
    <row r="23" spans="1:27" ht="12.75">
      <c r="A23" s="50"/>
      <c r="B23" s="9"/>
      <c r="C23" s="82"/>
      <c r="D23" s="82"/>
      <c r="E23" s="82"/>
      <c r="F23" s="37"/>
      <c r="G23" s="84"/>
      <c r="H23" s="82"/>
      <c r="I23" s="82"/>
      <c r="J23" s="82"/>
      <c r="K23" s="37"/>
      <c r="L23" s="84"/>
      <c r="M23" s="82"/>
      <c r="N23" s="82"/>
      <c r="O23" s="82"/>
      <c r="P23" s="37"/>
      <c r="Q23" s="84"/>
      <c r="R23" s="82"/>
      <c r="S23" s="82"/>
      <c r="T23" s="82"/>
      <c r="U23" s="83"/>
      <c r="V23" s="84"/>
      <c r="W23" s="85"/>
      <c r="X23" s="85"/>
      <c r="Y23" s="85"/>
      <c r="Z23" s="86"/>
      <c r="AA23" s="9"/>
    </row>
    <row r="24" spans="1:27" ht="12.75">
      <c r="A24" s="57" t="s">
        <v>214</v>
      </c>
      <c r="B24" s="9"/>
      <c r="C24" s="82"/>
      <c r="D24" s="82"/>
      <c r="E24" s="82"/>
      <c r="F24" s="37"/>
      <c r="G24" s="84"/>
      <c r="H24" s="82"/>
      <c r="I24" s="82"/>
      <c r="J24" s="82"/>
      <c r="K24" s="37"/>
      <c r="L24" s="84"/>
      <c r="M24" s="82"/>
      <c r="N24" s="82"/>
      <c r="O24" s="82"/>
      <c r="P24" s="37"/>
      <c r="Q24" s="84"/>
      <c r="R24" s="82"/>
      <c r="S24" s="82"/>
      <c r="T24" s="82"/>
      <c r="U24" s="83"/>
      <c r="V24" s="84"/>
      <c r="W24" s="85"/>
      <c r="X24" s="85"/>
      <c r="Y24" s="85"/>
      <c r="Z24" s="86"/>
      <c r="AA24" s="9"/>
    </row>
    <row r="25" spans="1:27" ht="12.75">
      <c r="A25" s="50"/>
      <c r="B25" s="9"/>
      <c r="C25" s="82"/>
      <c r="D25" s="82"/>
      <c r="E25" s="82"/>
      <c r="F25" s="37"/>
      <c r="G25" s="84"/>
      <c r="H25" s="82"/>
      <c r="I25" s="82"/>
      <c r="J25" s="82"/>
      <c r="K25" s="37"/>
      <c r="L25" s="84"/>
      <c r="M25" s="82"/>
      <c r="N25" s="82"/>
      <c r="O25" s="82"/>
      <c r="P25" s="37"/>
      <c r="Q25" s="84"/>
      <c r="R25" s="82"/>
      <c r="S25" s="82"/>
      <c r="T25" s="82"/>
      <c r="U25" s="83"/>
      <c r="V25" s="84"/>
      <c r="W25" s="85"/>
      <c r="X25" s="85"/>
      <c r="Y25" s="85"/>
      <c r="Z25" s="86"/>
      <c r="AA25" s="9"/>
    </row>
    <row r="26" spans="1:27" ht="12.75">
      <c r="A26" s="50" t="s">
        <v>190</v>
      </c>
      <c r="B26" s="9"/>
      <c r="C26" s="35">
        <v>768</v>
      </c>
      <c r="D26" s="35">
        <v>841</v>
      </c>
      <c r="E26" s="35">
        <v>829</v>
      </c>
      <c r="F26" s="37">
        <f>1778-E26</f>
        <v>949</v>
      </c>
      <c r="G26" s="84"/>
      <c r="H26" s="35">
        <v>269</v>
      </c>
      <c r="I26" s="35">
        <v>317</v>
      </c>
      <c r="J26" s="35">
        <v>289</v>
      </c>
      <c r="K26" s="37">
        <f>606-J26</f>
        <v>317</v>
      </c>
      <c r="L26" s="84"/>
      <c r="M26" s="35">
        <v>164</v>
      </c>
      <c r="N26" s="35">
        <v>201</v>
      </c>
      <c r="O26" s="35">
        <v>175</v>
      </c>
      <c r="P26" s="37">
        <f>373-O26</f>
        <v>198</v>
      </c>
      <c r="Q26" s="84"/>
      <c r="R26" s="35">
        <v>62</v>
      </c>
      <c r="S26" s="35">
        <v>142</v>
      </c>
      <c r="T26" s="35">
        <v>100</v>
      </c>
      <c r="U26" s="37">
        <f>237-T26</f>
        <v>137</v>
      </c>
      <c r="V26" s="84"/>
      <c r="W26" s="35">
        <v>125</v>
      </c>
      <c r="X26" s="35">
        <v>218</v>
      </c>
      <c r="Y26" s="35">
        <v>164</v>
      </c>
      <c r="Z26" s="37">
        <f>338-Y26</f>
        <v>174</v>
      </c>
      <c r="AA26" s="9"/>
    </row>
    <row r="27" spans="1:27" ht="12.75">
      <c r="A27" s="50" t="s">
        <v>212</v>
      </c>
      <c r="B27" s="9"/>
      <c r="C27" s="82"/>
      <c r="D27" s="82"/>
      <c r="E27" s="82"/>
      <c r="F27" s="37"/>
      <c r="G27" s="84"/>
      <c r="H27" s="82"/>
      <c r="I27" s="82"/>
      <c r="J27" s="82"/>
      <c r="K27" s="37"/>
      <c r="L27" s="84"/>
      <c r="M27" s="82"/>
      <c r="N27" s="82"/>
      <c r="O27" s="82"/>
      <c r="P27" s="37"/>
      <c r="Q27" s="84"/>
      <c r="R27" s="82"/>
      <c r="S27" s="82"/>
      <c r="T27" s="82"/>
      <c r="U27" s="83"/>
      <c r="V27" s="84"/>
      <c r="W27" s="35"/>
      <c r="X27" s="85"/>
      <c r="Y27" s="85"/>
      <c r="Z27" s="86"/>
      <c r="AA27" s="9"/>
    </row>
    <row r="28" spans="1:27" ht="12.75">
      <c r="A28" s="50" t="s">
        <v>76</v>
      </c>
      <c r="B28" s="9"/>
      <c r="C28" s="35">
        <v>405</v>
      </c>
      <c r="D28" s="35">
        <v>431</v>
      </c>
      <c r="E28" s="35">
        <v>488</v>
      </c>
      <c r="F28" s="37">
        <f>969-E28</f>
        <v>481</v>
      </c>
      <c r="G28" s="84"/>
      <c r="H28" s="35">
        <v>195</v>
      </c>
      <c r="I28" s="35">
        <v>199</v>
      </c>
      <c r="J28" s="35">
        <v>224</v>
      </c>
      <c r="K28" s="37">
        <f>437-J28</f>
        <v>213</v>
      </c>
      <c r="L28" s="84"/>
      <c r="M28" s="35">
        <v>86</v>
      </c>
      <c r="N28" s="35">
        <v>83</v>
      </c>
      <c r="O28" s="35">
        <v>101</v>
      </c>
      <c r="P28" s="37">
        <f>193-O28</f>
        <v>92</v>
      </c>
      <c r="Q28" s="84"/>
      <c r="R28" s="35">
        <v>57</v>
      </c>
      <c r="S28" s="35">
        <v>89</v>
      </c>
      <c r="T28" s="35">
        <v>75</v>
      </c>
      <c r="U28" s="37">
        <f>136-T28</f>
        <v>61</v>
      </c>
      <c r="V28" s="84"/>
      <c r="W28" s="35">
        <v>149</v>
      </c>
      <c r="X28" s="35">
        <v>131</v>
      </c>
      <c r="Y28" s="35">
        <v>150</v>
      </c>
      <c r="Z28" s="37">
        <f>326-Y28</f>
        <v>176</v>
      </c>
      <c r="AA28" s="9"/>
    </row>
    <row r="29" spans="1:27" ht="12.75">
      <c r="A29" s="50" t="s">
        <v>4</v>
      </c>
      <c r="B29" s="9"/>
      <c r="C29" s="35">
        <v>558</v>
      </c>
      <c r="D29" s="35">
        <v>569</v>
      </c>
      <c r="E29" s="35">
        <v>629</v>
      </c>
      <c r="F29" s="37">
        <f>1124-E29</f>
        <v>495</v>
      </c>
      <c r="G29" s="84"/>
      <c r="H29" s="35">
        <v>102</v>
      </c>
      <c r="I29" s="35">
        <v>114</v>
      </c>
      <c r="J29" s="35">
        <v>123</v>
      </c>
      <c r="K29" s="37">
        <f>143-J29</f>
        <v>20</v>
      </c>
      <c r="L29" s="84"/>
      <c r="M29" s="35">
        <v>18</v>
      </c>
      <c r="N29" s="35">
        <v>3</v>
      </c>
      <c r="O29" s="35">
        <v>1</v>
      </c>
      <c r="P29" s="37">
        <f>-77-O29</f>
        <v>-78</v>
      </c>
      <c r="Q29" s="84"/>
      <c r="R29" s="35">
        <v>97</v>
      </c>
      <c r="S29" s="35">
        <v>188</v>
      </c>
      <c r="T29" s="35">
        <v>127</v>
      </c>
      <c r="U29" s="37">
        <f>236-T29</f>
        <v>109</v>
      </c>
      <c r="V29" s="84"/>
      <c r="W29" s="35">
        <v>-73</v>
      </c>
      <c r="X29" s="35">
        <v>62</v>
      </c>
      <c r="Y29" s="35">
        <v>72</v>
      </c>
      <c r="Z29" s="37">
        <f>-219-Y29</f>
        <v>-291</v>
      </c>
      <c r="AA29" s="9"/>
    </row>
    <row r="30" spans="1:27" ht="12.75">
      <c r="A30" s="50" t="s">
        <v>194</v>
      </c>
      <c r="B30" s="9"/>
      <c r="C30" s="51">
        <v>646</v>
      </c>
      <c r="D30" s="51">
        <v>728</v>
      </c>
      <c r="E30" s="51">
        <v>805</v>
      </c>
      <c r="F30" s="52">
        <f>1630-E30</f>
        <v>825</v>
      </c>
      <c r="G30" s="84"/>
      <c r="H30" s="51">
        <v>219</v>
      </c>
      <c r="I30" s="51">
        <v>254</v>
      </c>
      <c r="J30" s="51">
        <v>283</v>
      </c>
      <c r="K30" s="52">
        <f>504-J30</f>
        <v>221</v>
      </c>
      <c r="L30" s="84"/>
      <c r="M30" s="51">
        <v>92</v>
      </c>
      <c r="N30" s="51">
        <v>105</v>
      </c>
      <c r="O30" s="51">
        <v>118</v>
      </c>
      <c r="P30" s="52">
        <f>163-O30</f>
        <v>45</v>
      </c>
      <c r="Q30" s="84"/>
      <c r="R30" s="51">
        <v>107</v>
      </c>
      <c r="S30" s="51">
        <v>164</v>
      </c>
      <c r="T30" s="51">
        <v>82</v>
      </c>
      <c r="U30" s="52">
        <f>253-T30</f>
        <v>171</v>
      </c>
      <c r="V30" s="84"/>
      <c r="W30" s="51">
        <v>149</v>
      </c>
      <c r="X30" s="51">
        <v>107</v>
      </c>
      <c r="Y30" s="51">
        <v>151</v>
      </c>
      <c r="Z30" s="52">
        <f>176-Y30</f>
        <v>25</v>
      </c>
      <c r="AA30" s="9"/>
    </row>
    <row r="31" spans="1:27" ht="12.75">
      <c r="A31" s="50"/>
      <c r="B31" s="9"/>
      <c r="C31" s="35">
        <v>2377</v>
      </c>
      <c r="D31" s="35">
        <v>2569</v>
      </c>
      <c r="E31" s="35">
        <v>2751</v>
      </c>
      <c r="F31" s="37">
        <f>5501-E31</f>
        <v>2750</v>
      </c>
      <c r="G31" s="84"/>
      <c r="H31" s="35">
        <v>785</v>
      </c>
      <c r="I31" s="35">
        <v>884</v>
      </c>
      <c r="J31" s="35">
        <v>919</v>
      </c>
      <c r="K31" s="37">
        <f>1690-J31</f>
        <v>771</v>
      </c>
      <c r="L31" s="84"/>
      <c r="M31" s="35">
        <v>360</v>
      </c>
      <c r="N31" s="35">
        <v>392</v>
      </c>
      <c r="O31" s="35">
        <v>395</v>
      </c>
      <c r="P31" s="37">
        <f>652-O31</f>
        <v>257</v>
      </c>
      <c r="Q31" s="84"/>
      <c r="R31" s="35">
        <v>323</v>
      </c>
      <c r="S31" s="35">
        <v>583</v>
      </c>
      <c r="T31" s="35">
        <v>384</v>
      </c>
      <c r="U31" s="37">
        <f>862-T31</f>
        <v>478</v>
      </c>
      <c r="V31" s="84"/>
      <c r="W31" s="35">
        <v>350</v>
      </c>
      <c r="X31" s="35">
        <v>518</v>
      </c>
      <c r="Y31" s="35">
        <v>537</v>
      </c>
      <c r="Z31" s="37">
        <f>621-Y31</f>
        <v>84</v>
      </c>
      <c r="AA31" s="9"/>
    </row>
    <row r="32" spans="1:27" ht="12.75">
      <c r="A32" s="50"/>
      <c r="B32" s="9"/>
      <c r="C32" s="82"/>
      <c r="D32" s="82"/>
      <c r="E32" s="35"/>
      <c r="F32" s="37"/>
      <c r="G32" s="84"/>
      <c r="H32" s="82"/>
      <c r="I32" s="82"/>
      <c r="J32" s="82"/>
      <c r="K32" s="37"/>
      <c r="L32" s="84"/>
      <c r="M32" s="82"/>
      <c r="N32" s="82"/>
      <c r="O32" s="35"/>
      <c r="P32" s="37"/>
      <c r="Q32" s="84"/>
      <c r="R32" s="82"/>
      <c r="S32" s="82"/>
      <c r="T32" s="82"/>
      <c r="U32" s="83"/>
      <c r="V32" s="84"/>
      <c r="W32" s="35"/>
      <c r="X32" s="35"/>
      <c r="Y32" s="35"/>
      <c r="Z32" s="37"/>
      <c r="AA32" s="9"/>
    </row>
    <row r="33" spans="1:27" ht="12.75">
      <c r="A33" s="57" t="s">
        <v>215</v>
      </c>
      <c r="B33" s="9"/>
      <c r="C33" s="82"/>
      <c r="D33" s="82"/>
      <c r="E33" s="82"/>
      <c r="F33" s="37"/>
      <c r="G33" s="84"/>
      <c r="H33" s="82"/>
      <c r="I33" s="82"/>
      <c r="J33" s="82"/>
      <c r="K33" s="37"/>
      <c r="L33" s="84"/>
      <c r="M33" s="82"/>
      <c r="N33" s="82"/>
      <c r="O33" s="82"/>
      <c r="P33" s="37"/>
      <c r="Q33" s="84"/>
      <c r="R33" s="82"/>
      <c r="S33" s="82"/>
      <c r="T33" s="82"/>
      <c r="U33" s="83"/>
      <c r="V33" s="84"/>
      <c r="W33" s="85"/>
      <c r="X33" s="85"/>
      <c r="Y33" s="85"/>
      <c r="Z33" s="86"/>
      <c r="AA33" s="9"/>
    </row>
    <row r="34" spans="1:27" ht="12.75">
      <c r="A34" s="50"/>
      <c r="B34" s="9"/>
      <c r="C34" s="82"/>
      <c r="D34" s="82"/>
      <c r="E34" s="82"/>
      <c r="F34" s="37"/>
      <c r="G34" s="84"/>
      <c r="H34" s="82"/>
      <c r="I34" s="82"/>
      <c r="J34" s="82"/>
      <c r="K34" s="37"/>
      <c r="L34" s="84"/>
      <c r="M34" s="82"/>
      <c r="N34" s="82"/>
      <c r="O34" s="82"/>
      <c r="P34" s="37"/>
      <c r="Q34" s="84"/>
      <c r="R34" s="82"/>
      <c r="S34" s="82"/>
      <c r="T34" s="82"/>
      <c r="U34" s="83"/>
      <c r="V34" s="84"/>
      <c r="W34" s="85"/>
      <c r="X34" s="85"/>
      <c r="Y34" s="85"/>
      <c r="Z34" s="86"/>
      <c r="AA34" s="9"/>
    </row>
    <row r="35" spans="1:27" ht="14.25">
      <c r="A35" s="50" t="s">
        <v>253</v>
      </c>
      <c r="B35" s="9"/>
      <c r="C35" s="35">
        <v>723</v>
      </c>
      <c r="D35" s="35">
        <v>1099</v>
      </c>
      <c r="E35" s="35">
        <v>1178</v>
      </c>
      <c r="F35" s="37">
        <f>2689-E35</f>
        <v>1511</v>
      </c>
      <c r="G35" s="84"/>
      <c r="H35" s="35">
        <v>246</v>
      </c>
      <c r="I35" s="35">
        <v>352</v>
      </c>
      <c r="J35" s="35">
        <v>335</v>
      </c>
      <c r="K35" s="37">
        <f>710-J35</f>
        <v>375</v>
      </c>
      <c r="L35" s="84"/>
      <c r="M35" s="35">
        <v>-18</v>
      </c>
      <c r="N35" s="35">
        <v>53</v>
      </c>
      <c r="O35" s="35">
        <v>7</v>
      </c>
      <c r="P35" s="37">
        <f>-37-O35</f>
        <v>-44</v>
      </c>
      <c r="Q35" s="84"/>
      <c r="R35" s="35">
        <v>389</v>
      </c>
      <c r="S35" s="35">
        <v>641</v>
      </c>
      <c r="T35" s="35">
        <v>592</v>
      </c>
      <c r="U35" s="37">
        <f>1351-T35</f>
        <v>759</v>
      </c>
      <c r="V35" s="84"/>
      <c r="W35" s="35">
        <v>20</v>
      </c>
      <c r="X35" s="35">
        <v>-200</v>
      </c>
      <c r="Y35" s="35">
        <v>-219</v>
      </c>
      <c r="Z35" s="37">
        <f>-610-Y35</f>
        <v>-391</v>
      </c>
      <c r="AA35" s="9"/>
    </row>
    <row r="36" spans="1:27" ht="12.75">
      <c r="A36" s="50" t="s">
        <v>213</v>
      </c>
      <c r="B36" s="9"/>
      <c r="C36" s="35"/>
      <c r="D36" s="35"/>
      <c r="E36" s="35"/>
      <c r="F36" s="37"/>
      <c r="G36" s="84"/>
      <c r="H36" s="35"/>
      <c r="I36" s="35"/>
      <c r="J36" s="35"/>
      <c r="K36" s="37"/>
      <c r="L36" s="84"/>
      <c r="M36" s="35"/>
      <c r="N36" s="35"/>
      <c r="O36" s="35"/>
      <c r="P36" s="37"/>
      <c r="Q36" s="84"/>
      <c r="R36" s="35"/>
      <c r="S36" s="35"/>
      <c r="T36" s="35"/>
      <c r="U36" s="37"/>
      <c r="V36" s="84"/>
      <c r="W36" s="35"/>
      <c r="X36" s="35"/>
      <c r="Y36" s="35"/>
      <c r="Z36" s="37"/>
      <c r="AA36" s="9"/>
    </row>
    <row r="37" spans="1:27" ht="12.75">
      <c r="A37" s="50" t="s">
        <v>77</v>
      </c>
      <c r="B37" s="9"/>
      <c r="C37" s="35">
        <v>443</v>
      </c>
      <c r="D37" s="35">
        <v>490</v>
      </c>
      <c r="E37" s="35">
        <v>577</v>
      </c>
      <c r="F37" s="37">
        <f>1285-E37</f>
        <v>708</v>
      </c>
      <c r="G37" s="84"/>
      <c r="H37" s="35">
        <v>223</v>
      </c>
      <c r="I37" s="35">
        <v>232</v>
      </c>
      <c r="J37" s="35">
        <v>281</v>
      </c>
      <c r="K37" s="37">
        <f>643-J37</f>
        <v>362</v>
      </c>
      <c r="L37" s="84"/>
      <c r="M37" s="35">
        <v>158</v>
      </c>
      <c r="N37" s="35">
        <v>154</v>
      </c>
      <c r="O37" s="35">
        <v>190</v>
      </c>
      <c r="P37" s="37">
        <f>424-O37</f>
        <v>234</v>
      </c>
      <c r="Q37" s="84"/>
      <c r="R37" s="35">
        <v>114</v>
      </c>
      <c r="S37" s="35">
        <v>137</v>
      </c>
      <c r="T37" s="35">
        <v>76</v>
      </c>
      <c r="U37" s="37">
        <f>259-T37</f>
        <v>183</v>
      </c>
      <c r="V37" s="84"/>
      <c r="W37" s="35">
        <v>146</v>
      </c>
      <c r="X37" s="35">
        <v>111</v>
      </c>
      <c r="Y37" s="35">
        <v>185</v>
      </c>
      <c r="Z37" s="37">
        <f>383-Y37</f>
        <v>198</v>
      </c>
      <c r="AA37" s="9"/>
    </row>
    <row r="38" spans="1:27" ht="12.75">
      <c r="A38" s="50" t="s">
        <v>194</v>
      </c>
      <c r="B38" s="9"/>
      <c r="C38" s="35">
        <v>758</v>
      </c>
      <c r="D38" s="35">
        <v>886</v>
      </c>
      <c r="E38" s="35">
        <v>902</v>
      </c>
      <c r="F38" s="37">
        <v>944</v>
      </c>
      <c r="G38" s="84"/>
      <c r="H38" s="35">
        <v>174</v>
      </c>
      <c r="I38" s="35">
        <v>249</v>
      </c>
      <c r="J38" s="35">
        <v>167</v>
      </c>
      <c r="K38" s="37">
        <f>386-J38</f>
        <v>219</v>
      </c>
      <c r="L38" s="84"/>
      <c r="M38" s="35">
        <v>64</v>
      </c>
      <c r="N38" s="35">
        <v>119</v>
      </c>
      <c r="O38" s="35">
        <v>46</v>
      </c>
      <c r="P38" s="37">
        <f>138-O38</f>
        <v>92</v>
      </c>
      <c r="Q38" s="84"/>
      <c r="R38" s="35">
        <v>91</v>
      </c>
      <c r="S38" s="35">
        <v>121</v>
      </c>
      <c r="T38" s="35">
        <v>107</v>
      </c>
      <c r="U38" s="37">
        <f>265-T38</f>
        <v>158</v>
      </c>
      <c r="V38" s="84"/>
      <c r="W38" s="35">
        <v>29</v>
      </c>
      <c r="X38" s="35">
        <v>151</v>
      </c>
      <c r="Y38" s="35">
        <v>-1</v>
      </c>
      <c r="Z38" s="37">
        <f>150-Y38</f>
        <v>151</v>
      </c>
      <c r="AA38" s="9"/>
    </row>
    <row r="39" spans="1:27" ht="12.75">
      <c r="A39" s="50" t="s">
        <v>191</v>
      </c>
      <c r="B39" s="9"/>
      <c r="C39" s="72">
        <v>0</v>
      </c>
      <c r="D39" s="72">
        <v>0</v>
      </c>
      <c r="E39" s="72">
        <v>0</v>
      </c>
      <c r="F39" s="52">
        <v>-1</v>
      </c>
      <c r="G39" s="84"/>
      <c r="H39" s="72">
        <v>0</v>
      </c>
      <c r="I39" s="72">
        <v>0</v>
      </c>
      <c r="J39" s="72">
        <v>0</v>
      </c>
      <c r="K39" s="73">
        <f>0-J39</f>
        <v>0</v>
      </c>
      <c r="L39" s="84"/>
      <c r="M39" s="72">
        <v>0</v>
      </c>
      <c r="N39" s="72">
        <v>0</v>
      </c>
      <c r="O39" s="72">
        <v>0</v>
      </c>
      <c r="P39" s="73">
        <f>0-O39</f>
        <v>0</v>
      </c>
      <c r="Q39" s="84"/>
      <c r="R39" s="72">
        <v>0</v>
      </c>
      <c r="S39" s="72">
        <v>0</v>
      </c>
      <c r="T39" s="72">
        <v>0</v>
      </c>
      <c r="U39" s="73">
        <f>0-T39</f>
        <v>0</v>
      </c>
      <c r="V39" s="84"/>
      <c r="W39" s="72">
        <v>0</v>
      </c>
      <c r="X39" s="72">
        <v>0</v>
      </c>
      <c r="Y39" s="72">
        <v>0</v>
      </c>
      <c r="Z39" s="73">
        <f>0-Y39</f>
        <v>0</v>
      </c>
      <c r="AA39" s="9"/>
    </row>
    <row r="40" spans="1:27" ht="12.75">
      <c r="A40" s="50"/>
      <c r="B40" s="9"/>
      <c r="C40" s="35">
        <f>SUM(C35:C39)</f>
        <v>1924</v>
      </c>
      <c r="D40" s="35">
        <f>SUM(D35:D39)</f>
        <v>2475</v>
      </c>
      <c r="E40" s="35">
        <f>SUM(E35:E39)</f>
        <v>2657</v>
      </c>
      <c r="F40" s="37">
        <f>SUM(F35:F39)</f>
        <v>3162</v>
      </c>
      <c r="G40" s="84"/>
      <c r="H40" s="35">
        <f>SUM(H35:H39)</f>
        <v>643</v>
      </c>
      <c r="I40" s="35">
        <f>SUM(I35:I39)</f>
        <v>833</v>
      </c>
      <c r="J40" s="35">
        <f>SUM(J35:J39)</f>
        <v>783</v>
      </c>
      <c r="K40" s="37">
        <f>SUM(K35:K39)</f>
        <v>956</v>
      </c>
      <c r="L40" s="84"/>
      <c r="M40" s="35">
        <f>SUM(M35:M39)</f>
        <v>204</v>
      </c>
      <c r="N40" s="35">
        <f>SUM(N35:N39)</f>
        <v>326</v>
      </c>
      <c r="O40" s="35">
        <f>SUM(O35:O39)</f>
        <v>243</v>
      </c>
      <c r="P40" s="37">
        <f>SUM(P35:P39)</f>
        <v>282</v>
      </c>
      <c r="Q40" s="84"/>
      <c r="R40" s="35">
        <f>SUM(R35:R39)</f>
        <v>594</v>
      </c>
      <c r="S40" s="35">
        <f>SUM(S35:S39)</f>
        <v>899</v>
      </c>
      <c r="T40" s="35">
        <f>SUM(T35:T39)</f>
        <v>775</v>
      </c>
      <c r="U40" s="37">
        <f>SUM(U35:U39)</f>
        <v>1100</v>
      </c>
      <c r="V40" s="84"/>
      <c r="W40" s="35">
        <f>SUM(W35:W39)</f>
        <v>195</v>
      </c>
      <c r="X40" s="35">
        <f>SUM(X35:X39)</f>
        <v>62</v>
      </c>
      <c r="Y40" s="35">
        <f>SUM(Y35:Y39)</f>
        <v>-35</v>
      </c>
      <c r="Z40" s="37">
        <f>SUM(Z35:Z39)</f>
        <v>-42</v>
      </c>
      <c r="AA40" s="9"/>
    </row>
    <row r="41" spans="1:27" ht="12.75">
      <c r="A41" s="50"/>
      <c r="B41" s="9"/>
      <c r="C41" s="82"/>
      <c r="D41" s="82"/>
      <c r="E41" s="35"/>
      <c r="F41" s="37"/>
      <c r="G41" s="84"/>
      <c r="H41" s="82"/>
      <c r="I41" s="82"/>
      <c r="J41" s="35"/>
      <c r="K41" s="37"/>
      <c r="L41" s="84"/>
      <c r="M41" s="82"/>
      <c r="N41" s="82"/>
      <c r="O41" s="35"/>
      <c r="P41" s="37"/>
      <c r="Q41" s="84"/>
      <c r="R41" s="82"/>
      <c r="S41" s="82"/>
      <c r="T41" s="35"/>
      <c r="U41" s="37"/>
      <c r="V41" s="84"/>
      <c r="W41" s="35"/>
      <c r="X41" s="35"/>
      <c r="Y41" s="35"/>
      <c r="Z41" s="37"/>
      <c r="AA41" s="9"/>
    </row>
    <row r="42" spans="1:27" ht="12.75">
      <c r="A42" s="50"/>
      <c r="B42" s="9"/>
      <c r="C42" s="35"/>
      <c r="D42" s="35"/>
      <c r="E42" s="35"/>
      <c r="G42" s="84"/>
      <c r="H42" s="82"/>
      <c r="I42" s="82"/>
      <c r="J42" s="35"/>
      <c r="L42" s="84"/>
      <c r="M42" s="82"/>
      <c r="N42" s="82"/>
      <c r="O42" s="35"/>
      <c r="Q42" s="84"/>
      <c r="R42" s="35"/>
      <c r="S42" s="35"/>
      <c r="T42" s="35"/>
      <c r="U42" s="37"/>
      <c r="V42" s="84"/>
      <c r="W42" s="35"/>
      <c r="X42" s="35"/>
      <c r="Y42" s="35"/>
      <c r="Z42" s="37"/>
      <c r="AA42" s="9"/>
    </row>
    <row r="43" spans="1:27" ht="12.75">
      <c r="A43" s="50" t="s">
        <v>193</v>
      </c>
      <c r="B43" s="9"/>
      <c r="C43" s="43">
        <v>0</v>
      </c>
      <c r="D43" s="43">
        <v>0</v>
      </c>
      <c r="E43" s="43">
        <v>0</v>
      </c>
      <c r="F43" s="44">
        <f>0-E43</f>
        <v>0</v>
      </c>
      <c r="G43" s="43"/>
      <c r="H43" s="43">
        <v>0</v>
      </c>
      <c r="I43" s="43">
        <v>0</v>
      </c>
      <c r="J43" s="43">
        <v>0</v>
      </c>
      <c r="K43" s="44">
        <f>0-J43</f>
        <v>0</v>
      </c>
      <c r="L43" s="84"/>
      <c r="M43" s="35">
        <v>1180</v>
      </c>
      <c r="N43" s="35">
        <v>1267</v>
      </c>
      <c r="O43" s="35">
        <v>1480</v>
      </c>
      <c r="P43" s="37">
        <f>3542-O43</f>
        <v>2062</v>
      </c>
      <c r="Q43" s="84"/>
      <c r="R43" s="43">
        <v>0</v>
      </c>
      <c r="S43" s="43">
        <v>0</v>
      </c>
      <c r="T43" s="43">
        <v>0</v>
      </c>
      <c r="U43" s="44">
        <v>0</v>
      </c>
      <c r="V43" s="84"/>
      <c r="W43" s="43">
        <v>0</v>
      </c>
      <c r="X43" s="43">
        <v>0</v>
      </c>
      <c r="Y43" s="43">
        <v>0</v>
      </c>
      <c r="Z43" s="44">
        <v>0</v>
      </c>
      <c r="AA43" s="9"/>
    </row>
    <row r="44" spans="1:27" ht="12.75">
      <c r="A44" s="50" t="s">
        <v>250</v>
      </c>
      <c r="B44" s="9"/>
      <c r="C44" s="35">
        <v>80</v>
      </c>
      <c r="D44" s="35">
        <v>90</v>
      </c>
      <c r="E44" s="35">
        <v>93</v>
      </c>
      <c r="F44" s="37">
        <f>216-E44</f>
        <v>123</v>
      </c>
      <c r="G44" s="84"/>
      <c r="H44" s="35">
        <v>303</v>
      </c>
      <c r="I44" s="35">
        <v>40</v>
      </c>
      <c r="J44" s="35">
        <v>300</v>
      </c>
      <c r="K44" s="37">
        <f>639-J44</f>
        <v>339</v>
      </c>
      <c r="L44" s="84"/>
      <c r="M44" s="35">
        <v>210</v>
      </c>
      <c r="N44" s="82">
        <v>-70</v>
      </c>
      <c r="O44" s="35">
        <v>190</v>
      </c>
      <c r="P44" s="37">
        <f>407-O44</f>
        <v>217</v>
      </c>
      <c r="Q44" s="84"/>
      <c r="R44" s="35">
        <v>70</v>
      </c>
      <c r="S44" s="35">
        <v>115</v>
      </c>
      <c r="T44" s="35">
        <v>95</v>
      </c>
      <c r="U44" s="37">
        <f>312-T44</f>
        <v>217</v>
      </c>
      <c r="V44" s="84"/>
      <c r="W44" s="35">
        <v>86</v>
      </c>
      <c r="X44" s="35">
        <v>33</v>
      </c>
      <c r="Y44" s="35">
        <v>149</v>
      </c>
      <c r="Z44" s="37">
        <f>526-Y44</f>
        <v>377</v>
      </c>
      <c r="AA44" s="9"/>
    </row>
    <row r="45" spans="1:27" ht="12.75">
      <c r="A45" s="50" t="s">
        <v>192</v>
      </c>
      <c r="B45" s="9"/>
      <c r="C45" s="35">
        <v>-56</v>
      </c>
      <c r="D45" s="35">
        <v>-62</v>
      </c>
      <c r="E45" s="35">
        <v>-79</v>
      </c>
      <c r="F45" s="37">
        <f>-153-E45</f>
        <v>-74</v>
      </c>
      <c r="G45" s="84"/>
      <c r="H45" s="43">
        <v>0</v>
      </c>
      <c r="I45" s="43">
        <v>0</v>
      </c>
      <c r="J45" s="43">
        <v>0</v>
      </c>
      <c r="K45" s="44">
        <f>0-J45</f>
        <v>0</v>
      </c>
      <c r="L45" s="84"/>
      <c r="M45" s="43">
        <v>0</v>
      </c>
      <c r="N45" s="43">
        <v>0</v>
      </c>
      <c r="O45" s="43">
        <v>0</v>
      </c>
      <c r="P45" s="44">
        <f>0-O45</f>
        <v>0</v>
      </c>
      <c r="Q45" s="84"/>
      <c r="R45" s="43">
        <v>0</v>
      </c>
      <c r="S45" s="43">
        <v>0</v>
      </c>
      <c r="T45" s="43">
        <v>0</v>
      </c>
      <c r="U45" s="44">
        <v>0</v>
      </c>
      <c r="V45" s="84"/>
      <c r="W45" s="43">
        <v>0</v>
      </c>
      <c r="X45" s="43">
        <v>0</v>
      </c>
      <c r="Y45" s="43">
        <v>0</v>
      </c>
      <c r="Z45" s="44">
        <v>0</v>
      </c>
      <c r="AA45" s="9"/>
    </row>
    <row r="46" spans="1:27" ht="12.75">
      <c r="A46" s="50"/>
      <c r="B46" s="9"/>
      <c r="C46" s="35"/>
      <c r="D46" s="35"/>
      <c r="E46" s="35"/>
      <c r="F46" s="37"/>
      <c r="G46" s="84"/>
      <c r="H46" s="87"/>
      <c r="I46" s="87"/>
      <c r="J46" s="87"/>
      <c r="K46" s="37"/>
      <c r="L46" s="84"/>
      <c r="M46" s="87"/>
      <c r="N46" s="87"/>
      <c r="O46" s="87"/>
      <c r="P46" s="37"/>
      <c r="Q46" s="84"/>
      <c r="R46" s="87"/>
      <c r="S46" s="87"/>
      <c r="T46" s="87"/>
      <c r="U46" s="88"/>
      <c r="V46" s="84"/>
      <c r="W46" s="51"/>
      <c r="X46" s="51"/>
      <c r="Y46" s="51"/>
      <c r="Z46" s="52"/>
      <c r="AA46" s="9"/>
    </row>
    <row r="47" spans="1:27" ht="12.75">
      <c r="A47" s="57" t="s">
        <v>20</v>
      </c>
      <c r="B47" s="9"/>
      <c r="C47" s="145">
        <v>16994</v>
      </c>
      <c r="D47" s="145">
        <v>18484</v>
      </c>
      <c r="E47" s="145">
        <v>19902</v>
      </c>
      <c r="F47" s="146">
        <v>21115</v>
      </c>
      <c r="G47" s="84"/>
      <c r="H47" s="145">
        <v>6565</v>
      </c>
      <c r="I47" s="145">
        <v>6613</v>
      </c>
      <c r="J47" s="145">
        <v>7243</v>
      </c>
      <c r="K47" s="146">
        <f>14490-J47</f>
        <v>7247</v>
      </c>
      <c r="L47" s="84"/>
      <c r="M47" s="145">
        <v>5223</v>
      </c>
      <c r="N47" s="145">
        <v>4852</v>
      </c>
      <c r="O47" s="145">
        <v>5771</v>
      </c>
      <c r="P47" s="146">
        <f>11757-O47</f>
        <v>5986</v>
      </c>
      <c r="Q47" s="84"/>
      <c r="R47" s="145">
        <v>1982</v>
      </c>
      <c r="S47" s="145">
        <v>3093</v>
      </c>
      <c r="T47" s="145">
        <v>2380</v>
      </c>
      <c r="U47" s="146">
        <f>5909-T47</f>
        <v>3529</v>
      </c>
      <c r="V47" s="84"/>
      <c r="W47" s="145">
        <v>4152</v>
      </c>
      <c r="X47" s="145">
        <v>4518</v>
      </c>
      <c r="Y47" s="145">
        <v>4303</v>
      </c>
      <c r="Z47" s="146">
        <f>8718-Y47</f>
        <v>4415</v>
      </c>
      <c r="AA47" s="9"/>
    </row>
    <row r="48" spans="1:27" ht="12.75">
      <c r="A48" s="57"/>
      <c r="B48" s="9"/>
      <c r="C48" s="35"/>
      <c r="D48" s="35"/>
      <c r="E48" s="35"/>
      <c r="F48" s="37"/>
      <c r="G48" s="84"/>
      <c r="H48" s="35"/>
      <c r="I48" s="35"/>
      <c r="J48" s="35"/>
      <c r="K48" s="37"/>
      <c r="L48" s="84"/>
      <c r="M48" s="82"/>
      <c r="N48" s="82"/>
      <c r="O48" s="35"/>
      <c r="P48" s="37"/>
      <c r="Q48" s="84"/>
      <c r="R48" s="35"/>
      <c r="S48" s="35"/>
      <c r="T48" s="35"/>
      <c r="U48" s="37"/>
      <c r="V48" s="84"/>
      <c r="W48" s="35"/>
      <c r="X48" s="35"/>
      <c r="Y48" s="35"/>
      <c r="Z48" s="37"/>
      <c r="AA48" s="9"/>
    </row>
    <row r="49" spans="1:27" ht="15.75" customHeight="1">
      <c r="A49" s="57"/>
      <c r="B49" s="9"/>
      <c r="C49" s="35"/>
      <c r="D49" s="35"/>
      <c r="E49" s="35"/>
      <c r="F49" s="37"/>
      <c r="G49" s="84"/>
      <c r="H49" s="35"/>
      <c r="I49" s="35"/>
      <c r="J49" s="35"/>
      <c r="K49" s="37"/>
      <c r="L49" s="84"/>
      <c r="M49" s="82"/>
      <c r="N49" s="82"/>
      <c r="O49" s="44"/>
      <c r="P49" s="37"/>
      <c r="Q49" s="84"/>
      <c r="R49" s="333" t="s">
        <v>254</v>
      </c>
      <c r="S49" s="333"/>
      <c r="T49" s="333"/>
      <c r="U49" s="333"/>
      <c r="V49" s="84"/>
      <c r="W49" s="35">
        <v>-14</v>
      </c>
      <c r="X49" s="35">
        <v>-26</v>
      </c>
      <c r="Y49" s="35">
        <v>-672</v>
      </c>
      <c r="Z49" s="37">
        <f>-735-Y49</f>
        <v>-63</v>
      </c>
      <c r="AA49" s="9"/>
    </row>
    <row r="50" spans="1:27" ht="13.5" thickBot="1">
      <c r="A50" s="57"/>
      <c r="B50" s="9"/>
      <c r="C50" s="35"/>
      <c r="D50" s="35"/>
      <c r="E50" s="35"/>
      <c r="F50" s="37"/>
      <c r="G50" s="84"/>
      <c r="H50" s="35"/>
      <c r="I50" s="35"/>
      <c r="J50" s="35"/>
      <c r="K50" s="37"/>
      <c r="L50" s="84"/>
      <c r="M50" s="82"/>
      <c r="N50" s="82"/>
      <c r="O50" s="37"/>
      <c r="P50" s="44"/>
      <c r="Q50" s="84"/>
      <c r="R50" s="35" t="s">
        <v>68</v>
      </c>
      <c r="S50" s="35"/>
      <c r="T50" s="35"/>
      <c r="U50" s="37"/>
      <c r="V50" s="84"/>
      <c r="W50" s="53">
        <v>4138</v>
      </c>
      <c r="X50" s="53">
        <v>4492</v>
      </c>
      <c r="Y50" s="53">
        <v>3631</v>
      </c>
      <c r="Z50" s="54">
        <f>7983-Y50</f>
        <v>4352</v>
      </c>
      <c r="AA50" s="9"/>
    </row>
    <row r="51" spans="2:27" ht="13.5" thickTop="1">
      <c r="B51" s="89"/>
      <c r="C51" s="82"/>
      <c r="D51" s="82"/>
      <c r="E51" s="82"/>
      <c r="F51" s="83"/>
      <c r="G51" s="84"/>
      <c r="H51" s="82"/>
      <c r="I51" s="82"/>
      <c r="J51" s="82"/>
      <c r="K51" s="83"/>
      <c r="L51" s="84"/>
      <c r="M51" s="82"/>
      <c r="N51" s="82"/>
      <c r="O51" s="44"/>
      <c r="P51" s="37"/>
      <c r="Q51" s="84"/>
      <c r="R51" s="82"/>
      <c r="S51" s="82"/>
      <c r="T51" s="82"/>
      <c r="U51" s="83"/>
      <c r="V51" s="84"/>
      <c r="W51" s="85"/>
      <c r="X51" s="85"/>
      <c r="Y51" s="85"/>
      <c r="Z51" s="86"/>
      <c r="AA51" s="9"/>
    </row>
    <row r="52" spans="1:27" ht="12.75">
      <c r="A52" s="297" t="s">
        <v>96</v>
      </c>
      <c r="B52" s="298"/>
      <c r="C52" s="299"/>
      <c r="D52" s="299"/>
      <c r="E52" s="299"/>
      <c r="F52" s="300"/>
      <c r="G52" s="301"/>
      <c r="H52" s="299"/>
      <c r="I52" s="299"/>
      <c r="J52" s="299"/>
      <c r="K52" s="300"/>
      <c r="L52" s="301"/>
      <c r="M52" s="299"/>
      <c r="N52" s="299"/>
      <c r="O52" s="302"/>
      <c r="P52" s="302"/>
      <c r="Q52" s="301"/>
      <c r="R52" s="299"/>
      <c r="S52" s="299"/>
      <c r="T52" s="299"/>
      <c r="U52" s="300"/>
      <c r="V52" s="301"/>
      <c r="W52" s="303"/>
      <c r="X52" s="303"/>
      <c r="Y52" s="303"/>
      <c r="Z52" s="86"/>
      <c r="AA52" s="9"/>
    </row>
    <row r="53" spans="1:27" ht="12.75">
      <c r="A53" s="304" t="s">
        <v>99</v>
      </c>
      <c r="B53" s="337" t="s">
        <v>233</v>
      </c>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86"/>
      <c r="AA53" s="9"/>
    </row>
    <row r="54" spans="1:27" ht="12.75" customHeight="1">
      <c r="A54" s="304" t="s">
        <v>100</v>
      </c>
      <c r="B54" s="338" t="s">
        <v>234</v>
      </c>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9"/>
    </row>
    <row r="55" spans="1:27" ht="12.75">
      <c r="A55" s="304" t="s">
        <v>101</v>
      </c>
      <c r="B55" s="336" t="s">
        <v>3</v>
      </c>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86"/>
      <c r="AA55" s="9"/>
    </row>
    <row r="56" spans="1:27" ht="12.75">
      <c r="A56" s="304" t="s">
        <v>102</v>
      </c>
      <c r="B56" s="297" t="s">
        <v>235</v>
      </c>
      <c r="C56" s="305"/>
      <c r="D56" s="305"/>
      <c r="E56" s="305"/>
      <c r="F56" s="305"/>
      <c r="G56" s="306"/>
      <c r="H56" s="305"/>
      <c r="I56" s="305"/>
      <c r="J56" s="305"/>
      <c r="K56" s="305"/>
      <c r="L56" s="306"/>
      <c r="M56" s="305"/>
      <c r="N56" s="305"/>
      <c r="O56" s="305"/>
      <c r="P56" s="307"/>
      <c r="Q56" s="306"/>
      <c r="R56" s="305"/>
      <c r="S56" s="305"/>
      <c r="T56" s="305"/>
      <c r="U56" s="305"/>
      <c r="V56" s="306"/>
      <c r="W56" s="308"/>
      <c r="X56" s="308"/>
      <c r="Y56" s="308"/>
      <c r="Z56" s="11"/>
      <c r="AA56" s="14"/>
    </row>
    <row r="57" spans="2:27" ht="12.75">
      <c r="B57" s="9"/>
      <c r="C57" s="13"/>
      <c r="D57" s="13"/>
      <c r="E57" s="13"/>
      <c r="F57" s="48"/>
      <c r="G57" s="9"/>
      <c r="H57" s="13"/>
      <c r="I57" s="13"/>
      <c r="J57" s="13"/>
      <c r="K57" s="48"/>
      <c r="L57" s="9"/>
      <c r="M57" s="13"/>
      <c r="N57" s="13"/>
      <c r="O57" s="13"/>
      <c r="P57" s="48"/>
      <c r="Q57" s="9"/>
      <c r="R57" s="13"/>
      <c r="S57" s="13"/>
      <c r="T57" s="13"/>
      <c r="U57" s="48"/>
      <c r="V57" s="9"/>
      <c r="W57" s="11"/>
      <c r="X57" s="11"/>
      <c r="Y57" s="11"/>
      <c r="Z57" s="75"/>
      <c r="AA57" s="9"/>
    </row>
    <row r="60" spans="2:18" ht="12.75">
      <c r="B60" s="330"/>
      <c r="C60" s="330"/>
      <c r="D60" s="330"/>
      <c r="E60" s="330"/>
      <c r="F60" s="330"/>
      <c r="G60" s="330"/>
      <c r="H60" s="330"/>
      <c r="I60" s="330"/>
      <c r="J60" s="330"/>
      <c r="K60" s="330"/>
      <c r="L60" s="330"/>
      <c r="M60" s="330"/>
      <c r="N60" s="330"/>
      <c r="O60" s="330"/>
      <c r="P60" s="330"/>
      <c r="Q60" s="330"/>
      <c r="R60" s="330"/>
    </row>
    <row r="61" spans="2:18" ht="12.75">
      <c r="B61" s="330"/>
      <c r="C61" s="330"/>
      <c r="D61" s="330"/>
      <c r="E61" s="330"/>
      <c r="F61" s="330"/>
      <c r="G61" s="330"/>
      <c r="H61" s="330"/>
      <c r="I61" s="330"/>
      <c r="J61" s="330"/>
      <c r="K61" s="330"/>
      <c r="L61" s="330"/>
      <c r="M61" s="330"/>
      <c r="N61" s="330"/>
      <c r="O61" s="330"/>
      <c r="P61" s="330"/>
      <c r="Q61" s="330"/>
      <c r="R61" s="330"/>
    </row>
    <row r="62" spans="2:18" ht="12.75">
      <c r="B62" s="330"/>
      <c r="C62" s="330"/>
      <c r="D62" s="330"/>
      <c r="E62" s="330"/>
      <c r="F62" s="330"/>
      <c r="G62" s="330"/>
      <c r="H62" s="330"/>
      <c r="I62" s="330"/>
      <c r="J62" s="330"/>
      <c r="K62" s="330"/>
      <c r="L62" s="330"/>
      <c r="M62" s="330"/>
      <c r="N62" s="330"/>
      <c r="O62" s="330"/>
      <c r="P62" s="330"/>
      <c r="Q62" s="330"/>
      <c r="R62" s="330"/>
    </row>
    <row r="63" spans="2:18" ht="12.75">
      <c r="B63" s="330"/>
      <c r="C63" s="330"/>
      <c r="D63" s="330"/>
      <c r="E63" s="330"/>
      <c r="F63" s="330"/>
      <c r="G63" s="330"/>
      <c r="H63" s="330"/>
      <c r="I63" s="330"/>
      <c r="J63" s="330"/>
      <c r="K63" s="330"/>
      <c r="L63" s="330"/>
      <c r="M63" s="330"/>
      <c r="N63" s="330"/>
      <c r="O63" s="330"/>
      <c r="P63" s="330"/>
      <c r="Q63" s="330"/>
      <c r="R63" s="330"/>
    </row>
    <row r="64" spans="2:18" ht="12.75">
      <c r="B64" s="330"/>
      <c r="C64" s="330"/>
      <c r="D64" s="330"/>
      <c r="E64" s="330"/>
      <c r="F64" s="330"/>
      <c r="G64" s="330"/>
      <c r="H64" s="330"/>
      <c r="I64" s="330"/>
      <c r="J64" s="330"/>
      <c r="K64" s="330"/>
      <c r="L64" s="330"/>
      <c r="M64" s="330"/>
      <c r="N64" s="330"/>
      <c r="O64" s="330"/>
      <c r="P64" s="330"/>
      <c r="Q64" s="330"/>
      <c r="R64" s="330"/>
    </row>
  </sheetData>
  <mergeCells count="10">
    <mergeCell ref="R49:U49"/>
    <mergeCell ref="B60:R64"/>
    <mergeCell ref="B55:Y55"/>
    <mergeCell ref="B53:Y53"/>
    <mergeCell ref="B54:Z54"/>
    <mergeCell ref="W3:Z3"/>
    <mergeCell ref="C3:F3"/>
    <mergeCell ref="H3:K3"/>
    <mergeCell ref="M3:P3"/>
    <mergeCell ref="R3:U3"/>
  </mergeCells>
  <printOptions/>
  <pageMargins left="0.7480314960629921" right="0.7480314960629921" top="0.984251968503937" bottom="0.984251968503937" header="0.5118110236220472" footer="0.5118110236220472"/>
  <pageSetup fitToHeight="1" fitToWidth="1" horizontalDpi="600" verticalDpi="600" orientation="landscape" paperSize="9" scale="55" r:id="rId1"/>
  <headerFooter alignWithMargins="0">
    <oddHeader>&amp;L&amp;"Vodafone Rg,Regular"Vodafone Group Plc&amp;C&amp;"Vodafone Rg,Regular"&amp;A</oddHead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2:AG56"/>
  <sheetViews>
    <sheetView showGridLines="0" view="pageBreakPreview" zoomScaleSheetLayoutView="100" workbookViewId="0" topLeftCell="A1">
      <pane xSplit="2" ySplit="5" topLeftCell="C6" activePane="bottomRight" state="frozen"/>
      <selection pane="topLeft" activeCell="B55" sqref="B55:J61"/>
      <selection pane="topRight" activeCell="B55" sqref="B55:J61"/>
      <selection pane="bottomLeft" activeCell="B55" sqref="B55:J61"/>
      <selection pane="bottomRight" activeCell="A1" sqref="A1"/>
    </sheetView>
  </sheetViews>
  <sheetFormatPr defaultColWidth="9.140625" defaultRowHeight="12.75"/>
  <cols>
    <col min="1" max="1" width="3.7109375" style="95" customWidth="1"/>
    <col min="2" max="2" width="20.140625" style="98" customWidth="1"/>
    <col min="3" max="3" width="3.7109375" style="98" customWidth="1"/>
    <col min="4" max="4" width="7.7109375" style="98" customWidth="1"/>
    <col min="5" max="5" width="7.7109375" style="243" customWidth="1"/>
    <col min="6" max="6" width="3.7109375" style="98" customWidth="1"/>
    <col min="7" max="7" width="7.7109375" style="98" customWidth="1"/>
    <col min="8" max="8" width="7.7109375" style="243" customWidth="1"/>
    <col min="9" max="9" width="3.7109375" style="98" customWidth="1"/>
    <col min="10" max="10" width="8.140625" style="98" customWidth="1"/>
    <col min="11" max="11" width="8.140625" style="243" customWidth="1"/>
    <col min="12" max="12" width="3.7109375" style="98" customWidth="1"/>
    <col min="13" max="13" width="7.57421875" style="98" customWidth="1"/>
    <col min="14" max="14" width="7.57421875" style="4" customWidth="1"/>
    <col min="15" max="15" width="3.7109375" style="98" customWidth="1"/>
    <col min="16" max="16" width="7.7109375" style="98" customWidth="1"/>
    <col min="17" max="17" width="7.7109375" style="4" customWidth="1"/>
    <col min="18" max="18" width="3.57421875" style="95" customWidth="1"/>
    <col min="19" max="16384" width="9.140625" style="98" customWidth="1"/>
  </cols>
  <sheetData>
    <row r="2" spans="1:17" s="95" customFormat="1" ht="18">
      <c r="A2" s="284" t="s">
        <v>251</v>
      </c>
      <c r="E2" s="94"/>
      <c r="H2" s="94"/>
      <c r="K2" s="94"/>
      <c r="N2" s="144"/>
      <c r="Q2" s="144"/>
    </row>
    <row r="3" spans="2:20" ht="27.75" customHeight="1">
      <c r="B3" s="96"/>
      <c r="C3" s="96"/>
      <c r="D3" s="340" t="s">
        <v>65</v>
      </c>
      <c r="E3" s="340"/>
      <c r="F3" s="238"/>
      <c r="G3" s="340" t="s">
        <v>22</v>
      </c>
      <c r="H3" s="340"/>
      <c r="I3" s="238"/>
      <c r="J3" s="339" t="s">
        <v>66</v>
      </c>
      <c r="K3" s="339"/>
      <c r="L3" s="239"/>
      <c r="M3" s="339" t="s">
        <v>67</v>
      </c>
      <c r="N3" s="339"/>
      <c r="O3" s="239"/>
      <c r="P3" s="339" t="s">
        <v>255</v>
      </c>
      <c r="Q3" s="339"/>
      <c r="R3" s="239"/>
      <c r="S3" s="95"/>
      <c r="T3" s="95"/>
    </row>
    <row r="4" spans="2:19" ht="12.75">
      <c r="B4" s="96"/>
      <c r="C4" s="96"/>
      <c r="D4" s="97" t="s">
        <v>14</v>
      </c>
      <c r="E4" s="240" t="s">
        <v>198</v>
      </c>
      <c r="F4" s="97"/>
      <c r="G4" s="97" t="s">
        <v>14</v>
      </c>
      <c r="H4" s="240" t="s">
        <v>198</v>
      </c>
      <c r="I4" s="97"/>
      <c r="J4" s="97" t="s">
        <v>14</v>
      </c>
      <c r="K4" s="240" t="s">
        <v>198</v>
      </c>
      <c r="L4" s="97"/>
      <c r="M4" s="97" t="s">
        <v>14</v>
      </c>
      <c r="N4" s="264" t="s">
        <v>198</v>
      </c>
      <c r="O4" s="97"/>
      <c r="P4" s="97" t="s">
        <v>14</v>
      </c>
      <c r="Q4" s="264" t="s">
        <v>198</v>
      </c>
      <c r="S4" s="95"/>
    </row>
    <row r="5" spans="2:19" ht="12.75">
      <c r="B5" s="96"/>
      <c r="C5" s="96"/>
      <c r="D5" s="97" t="s">
        <v>80</v>
      </c>
      <c r="E5" s="240" t="s">
        <v>80</v>
      </c>
      <c r="F5" s="97"/>
      <c r="G5" s="97" t="s">
        <v>80</v>
      </c>
      <c r="H5" s="240" t="s">
        <v>80</v>
      </c>
      <c r="I5" s="97"/>
      <c r="J5" s="97" t="s">
        <v>80</v>
      </c>
      <c r="K5" s="240" t="s">
        <v>80</v>
      </c>
      <c r="L5" s="97"/>
      <c r="M5" s="97" t="s">
        <v>80</v>
      </c>
      <c r="N5" s="264" t="s">
        <v>80</v>
      </c>
      <c r="O5" s="97"/>
      <c r="P5" s="97" t="s">
        <v>80</v>
      </c>
      <c r="Q5" s="264" t="s">
        <v>80</v>
      </c>
      <c r="S5" s="95"/>
    </row>
    <row r="6" spans="2:19" ht="12.75">
      <c r="B6" s="96"/>
      <c r="C6" s="96"/>
      <c r="D6" s="99"/>
      <c r="E6" s="241"/>
      <c r="F6" s="99"/>
      <c r="G6" s="99"/>
      <c r="H6" s="241"/>
      <c r="I6" s="99"/>
      <c r="J6" s="99"/>
      <c r="K6" s="241"/>
      <c r="L6" s="99"/>
      <c r="M6" s="99"/>
      <c r="N6" s="255"/>
      <c r="O6" s="97"/>
      <c r="P6" s="99"/>
      <c r="Q6" s="255"/>
      <c r="S6" s="95"/>
    </row>
    <row r="7" spans="1:19" ht="12.75">
      <c r="A7" s="100" t="s">
        <v>15</v>
      </c>
      <c r="B7" s="95"/>
      <c r="C7" s="101"/>
      <c r="D7" s="99"/>
      <c r="E7" s="241"/>
      <c r="F7" s="99"/>
      <c r="G7" s="99"/>
      <c r="H7" s="241"/>
      <c r="I7" s="99"/>
      <c r="J7" s="99"/>
      <c r="K7" s="241"/>
      <c r="L7" s="99"/>
      <c r="M7" s="99"/>
      <c r="N7" s="255"/>
      <c r="O7" s="99"/>
      <c r="P7" s="99"/>
      <c r="Q7" s="255"/>
      <c r="S7" s="95"/>
    </row>
    <row r="8" spans="1:19" ht="12.75">
      <c r="A8" s="102"/>
      <c r="B8" s="95"/>
      <c r="C8" s="96"/>
      <c r="D8" s="99"/>
      <c r="E8" s="241"/>
      <c r="F8" s="99"/>
      <c r="G8" s="99"/>
      <c r="H8" s="241"/>
      <c r="I8" s="99"/>
      <c r="J8" s="99"/>
      <c r="K8" s="241"/>
      <c r="L8" s="99"/>
      <c r="M8" s="99"/>
      <c r="N8" s="255"/>
      <c r="O8" s="99"/>
      <c r="P8" s="99"/>
      <c r="Q8" s="255"/>
      <c r="S8" s="95"/>
    </row>
    <row r="9" spans="1:19" s="10" customFormat="1" ht="12.75">
      <c r="A9" s="50" t="s">
        <v>16</v>
      </c>
      <c r="B9" s="9"/>
      <c r="C9" s="76"/>
      <c r="D9" s="35">
        <v>6866</v>
      </c>
      <c r="E9" s="37">
        <v>7847</v>
      </c>
      <c r="F9" s="35"/>
      <c r="G9" s="35">
        <v>2667</v>
      </c>
      <c r="H9" s="37">
        <v>3058</v>
      </c>
      <c r="I9" s="35"/>
      <c r="J9" s="35">
        <v>1490</v>
      </c>
      <c r="K9" s="37">
        <v>1728</v>
      </c>
      <c r="L9" s="35"/>
      <c r="M9" s="35">
        <v>613</v>
      </c>
      <c r="N9" s="153">
        <v>750</v>
      </c>
      <c r="O9" s="35"/>
      <c r="P9" s="35">
        <v>2190</v>
      </c>
      <c r="Q9" s="153">
        <v>2282</v>
      </c>
      <c r="R9" s="9"/>
      <c r="S9" s="9"/>
    </row>
    <row r="10" spans="1:19" ht="12.75">
      <c r="A10" s="102" t="s">
        <v>17</v>
      </c>
      <c r="B10" s="95"/>
      <c r="C10" s="96"/>
      <c r="D10" s="35">
        <v>4435</v>
      </c>
      <c r="E10" s="37">
        <v>5547</v>
      </c>
      <c r="F10" s="35"/>
      <c r="G10" s="35">
        <v>2158</v>
      </c>
      <c r="H10" s="37">
        <v>2424</v>
      </c>
      <c r="I10" s="35"/>
      <c r="J10" s="35">
        <v>1573</v>
      </c>
      <c r="K10" s="37">
        <v>1734</v>
      </c>
      <c r="L10" s="35"/>
      <c r="M10" s="35">
        <v>411</v>
      </c>
      <c r="N10" s="153">
        <v>521</v>
      </c>
      <c r="O10" s="35"/>
      <c r="P10" s="35">
        <v>1768</v>
      </c>
      <c r="Q10" s="153">
        <v>1825</v>
      </c>
      <c r="S10" s="95"/>
    </row>
    <row r="11" spans="1:19" ht="12.75">
      <c r="A11" s="102" t="s">
        <v>69</v>
      </c>
      <c r="B11" s="95"/>
      <c r="C11" s="96"/>
      <c r="D11" s="35">
        <v>5063</v>
      </c>
      <c r="E11" s="37">
        <v>5812</v>
      </c>
      <c r="F11" s="35"/>
      <c r="G11" s="35">
        <v>1806</v>
      </c>
      <c r="H11" s="37">
        <v>1897</v>
      </c>
      <c r="I11" s="35"/>
      <c r="J11" s="35">
        <v>1282</v>
      </c>
      <c r="K11" s="37">
        <v>1323</v>
      </c>
      <c r="L11" s="35"/>
      <c r="M11" s="35">
        <v>533</v>
      </c>
      <c r="N11" s="153">
        <v>632</v>
      </c>
      <c r="O11" s="35"/>
      <c r="P11" s="35">
        <v>1383</v>
      </c>
      <c r="Q11" s="153">
        <v>1487</v>
      </c>
      <c r="S11" s="95"/>
    </row>
    <row r="12" spans="1:19" ht="12.75">
      <c r="A12" s="102" t="s">
        <v>70</v>
      </c>
      <c r="B12" s="95"/>
      <c r="C12" s="96"/>
      <c r="D12" s="35">
        <v>5424</v>
      </c>
      <c r="E12" s="37">
        <v>5392</v>
      </c>
      <c r="F12" s="35"/>
      <c r="G12" s="35">
        <v>1431</v>
      </c>
      <c r="H12" s="37">
        <v>1219</v>
      </c>
      <c r="I12" s="35"/>
      <c r="J12" s="35">
        <v>431</v>
      </c>
      <c r="K12" s="37">
        <v>235</v>
      </c>
      <c r="L12" s="35"/>
      <c r="M12" s="35">
        <v>465</v>
      </c>
      <c r="N12" s="153">
        <v>446</v>
      </c>
      <c r="O12" s="35"/>
      <c r="P12" s="35">
        <v>936</v>
      </c>
      <c r="Q12" s="153">
        <v>785</v>
      </c>
      <c r="S12" s="95"/>
    </row>
    <row r="13" spans="1:19" ht="12.75">
      <c r="A13" s="102"/>
      <c r="B13" s="95"/>
      <c r="C13" s="96"/>
      <c r="D13" s="35"/>
      <c r="E13" s="37"/>
      <c r="F13" s="35"/>
      <c r="G13" s="35"/>
      <c r="H13" s="37"/>
      <c r="I13" s="35"/>
      <c r="J13" s="35"/>
      <c r="K13" s="37"/>
      <c r="L13" s="35"/>
      <c r="M13" s="35"/>
      <c r="N13" s="153"/>
      <c r="O13" s="35"/>
      <c r="P13" s="35"/>
      <c r="Q13" s="153"/>
      <c r="S13" s="95"/>
    </row>
    <row r="14" spans="1:19" ht="12.75">
      <c r="A14" s="102" t="s">
        <v>71</v>
      </c>
      <c r="B14" s="95"/>
      <c r="C14" s="96"/>
      <c r="D14" s="35"/>
      <c r="E14" s="37"/>
      <c r="F14" s="35"/>
      <c r="G14" s="35"/>
      <c r="H14" s="37"/>
      <c r="I14" s="35"/>
      <c r="J14" s="35"/>
      <c r="K14" s="37"/>
      <c r="L14" s="35"/>
      <c r="M14" s="35"/>
      <c r="N14" s="153"/>
      <c r="O14" s="35"/>
      <c r="P14" s="35"/>
      <c r="Q14" s="153"/>
      <c r="S14" s="95"/>
    </row>
    <row r="15" spans="1:19" ht="12.75">
      <c r="A15" s="102" t="s">
        <v>72</v>
      </c>
      <c r="B15" s="95"/>
      <c r="C15" s="96"/>
      <c r="D15" s="35">
        <v>1177</v>
      </c>
      <c r="E15" s="37">
        <v>1251</v>
      </c>
      <c r="F15" s="35"/>
      <c r="G15" s="35">
        <v>409</v>
      </c>
      <c r="H15" s="37">
        <v>410</v>
      </c>
      <c r="I15" s="35"/>
      <c r="J15" s="35">
        <v>234</v>
      </c>
      <c r="K15" s="37">
        <v>204</v>
      </c>
      <c r="L15" s="35"/>
      <c r="M15" s="35">
        <v>127</v>
      </c>
      <c r="N15" s="153">
        <v>140</v>
      </c>
      <c r="O15" s="35"/>
      <c r="P15" s="35">
        <v>312</v>
      </c>
      <c r="Q15" s="153">
        <v>254</v>
      </c>
      <c r="S15" s="95"/>
    </row>
    <row r="16" spans="1:19" ht="12.75">
      <c r="A16" s="102" t="s">
        <v>73</v>
      </c>
      <c r="B16" s="95"/>
      <c r="C16" s="96"/>
      <c r="D16" s="35">
        <v>1300</v>
      </c>
      <c r="E16" s="37">
        <v>1653</v>
      </c>
      <c r="F16" s="35"/>
      <c r="G16" s="35">
        <v>403</v>
      </c>
      <c r="H16" s="37">
        <v>493</v>
      </c>
      <c r="I16" s="35"/>
      <c r="J16" s="35">
        <v>246</v>
      </c>
      <c r="K16" s="37">
        <v>301</v>
      </c>
      <c r="L16" s="35"/>
      <c r="M16" s="35">
        <v>123</v>
      </c>
      <c r="N16" s="153">
        <v>131</v>
      </c>
      <c r="O16" s="35"/>
      <c r="P16" s="35">
        <v>251</v>
      </c>
      <c r="Q16" s="153">
        <v>335</v>
      </c>
      <c r="S16" s="95"/>
    </row>
    <row r="17" spans="1:19" ht="12.75">
      <c r="A17" s="102" t="s">
        <v>74</v>
      </c>
      <c r="B17" s="95"/>
      <c r="C17" s="96"/>
      <c r="D17" s="35">
        <v>1040</v>
      </c>
      <c r="E17" s="37">
        <v>1210</v>
      </c>
      <c r="F17" s="35"/>
      <c r="G17" s="35">
        <v>373</v>
      </c>
      <c r="H17" s="37">
        <v>443</v>
      </c>
      <c r="I17" s="35"/>
      <c r="J17" s="35">
        <v>239</v>
      </c>
      <c r="K17" s="37">
        <v>283</v>
      </c>
      <c r="L17" s="35"/>
      <c r="M17" s="35">
        <v>123</v>
      </c>
      <c r="N17" s="153">
        <v>130</v>
      </c>
      <c r="O17" s="35"/>
      <c r="P17" s="35">
        <v>240</v>
      </c>
      <c r="Q17" s="153">
        <v>292</v>
      </c>
      <c r="S17" s="95"/>
    </row>
    <row r="18" spans="1:21" ht="14.25">
      <c r="A18" s="102" t="s">
        <v>256</v>
      </c>
      <c r="B18" s="95"/>
      <c r="C18" s="96"/>
      <c r="D18" s="35">
        <v>1066</v>
      </c>
      <c r="E18" s="37">
        <v>1215</v>
      </c>
      <c r="F18" s="35"/>
      <c r="G18" s="35">
        <v>443</v>
      </c>
      <c r="H18" s="37">
        <v>478</v>
      </c>
      <c r="I18" s="35"/>
      <c r="J18" s="35">
        <v>286</v>
      </c>
      <c r="K18" s="37">
        <v>304</v>
      </c>
      <c r="L18" s="35"/>
      <c r="M18" s="35">
        <v>96</v>
      </c>
      <c r="N18" s="153">
        <v>110</v>
      </c>
      <c r="O18" s="35"/>
      <c r="P18" s="35">
        <v>346</v>
      </c>
      <c r="Q18" s="153">
        <v>388</v>
      </c>
      <c r="S18" s="95"/>
      <c r="T18" s="95"/>
      <c r="U18" s="95"/>
    </row>
    <row r="19" spans="1:19" ht="12.75">
      <c r="A19" s="102" t="s">
        <v>158</v>
      </c>
      <c r="B19" s="95"/>
      <c r="C19" s="96"/>
      <c r="D19" s="72">
        <v>0</v>
      </c>
      <c r="E19" s="73">
        <v>0</v>
      </c>
      <c r="F19" s="35"/>
      <c r="G19" s="72">
        <v>0</v>
      </c>
      <c r="H19" s="73">
        <v>0</v>
      </c>
      <c r="I19" s="35"/>
      <c r="J19" s="51">
        <v>425</v>
      </c>
      <c r="K19" s="52">
        <v>519</v>
      </c>
      <c r="L19" s="35"/>
      <c r="M19" s="72">
        <v>0</v>
      </c>
      <c r="N19" s="256">
        <v>0</v>
      </c>
      <c r="O19" s="103"/>
      <c r="P19" s="72">
        <v>0</v>
      </c>
      <c r="Q19" s="256">
        <v>0</v>
      </c>
      <c r="S19" s="95"/>
    </row>
    <row r="20" spans="1:19" ht="12.75">
      <c r="A20" s="102"/>
      <c r="B20" s="95"/>
      <c r="C20" s="96"/>
      <c r="D20" s="35">
        <v>4583</v>
      </c>
      <c r="E20" s="37">
        <v>5329</v>
      </c>
      <c r="F20" s="35"/>
      <c r="G20" s="35">
        <v>1628</v>
      </c>
      <c r="H20" s="37">
        <v>1824</v>
      </c>
      <c r="I20" s="35"/>
      <c r="J20" s="35">
        <v>1430</v>
      </c>
      <c r="K20" s="37">
        <v>1611</v>
      </c>
      <c r="L20" s="35"/>
      <c r="M20" s="35">
        <v>469</v>
      </c>
      <c r="N20" s="153">
        <f>SUM(N15:N19)</f>
        <v>511</v>
      </c>
      <c r="O20" s="103"/>
      <c r="P20" s="35">
        <v>1149</v>
      </c>
      <c r="Q20" s="153">
        <f>SUM(Q15:Q19)</f>
        <v>1269</v>
      </c>
      <c r="R20" s="35"/>
      <c r="S20" s="95"/>
    </row>
    <row r="21" spans="1:19" ht="12.75">
      <c r="A21" s="102"/>
      <c r="B21" s="95"/>
      <c r="C21" s="96"/>
      <c r="D21" s="35"/>
      <c r="E21" s="37"/>
      <c r="F21" s="35"/>
      <c r="G21" s="35"/>
      <c r="H21" s="37"/>
      <c r="I21" s="35"/>
      <c r="J21" s="35"/>
      <c r="K21" s="37"/>
      <c r="L21" s="35"/>
      <c r="M21" s="35"/>
      <c r="N21" s="153"/>
      <c r="O21" s="103"/>
      <c r="P21" s="103"/>
      <c r="Q21" s="265"/>
      <c r="S21" s="95"/>
    </row>
    <row r="22" spans="1:19" ht="12.75">
      <c r="A22" s="102" t="s">
        <v>191</v>
      </c>
      <c r="B22" s="95"/>
      <c r="C22" s="96"/>
      <c r="D22" s="51">
        <v>-290</v>
      </c>
      <c r="E22" s="52">
        <v>-293</v>
      </c>
      <c r="F22" s="43"/>
      <c r="G22" s="72">
        <v>0</v>
      </c>
      <c r="H22" s="73">
        <v>0</v>
      </c>
      <c r="I22" s="43"/>
      <c r="J22" s="72">
        <v>0</v>
      </c>
      <c r="K22" s="73">
        <v>0</v>
      </c>
      <c r="L22" s="43"/>
      <c r="M22" s="72">
        <v>0</v>
      </c>
      <c r="N22" s="256">
        <v>0</v>
      </c>
      <c r="O22" s="43"/>
      <c r="P22" s="72">
        <v>0</v>
      </c>
      <c r="Q22" s="256">
        <v>0</v>
      </c>
      <c r="S22" s="95"/>
    </row>
    <row r="23" spans="1:19" ht="12.75">
      <c r="A23" s="102"/>
      <c r="B23" s="95"/>
      <c r="C23" s="96"/>
      <c r="D23" s="35">
        <v>26081</v>
      </c>
      <c r="E23" s="37">
        <v>29634</v>
      </c>
      <c r="F23" s="35"/>
      <c r="G23" s="35">
        <v>9690</v>
      </c>
      <c r="H23" s="37">
        <v>10422</v>
      </c>
      <c r="I23" s="35"/>
      <c r="J23" s="35">
        <v>6206</v>
      </c>
      <c r="K23" s="37">
        <v>6631</v>
      </c>
      <c r="L23" s="35"/>
      <c r="M23" s="35">
        <v>2491</v>
      </c>
      <c r="N23" s="153">
        <f>N22+N20+N9+N10+N11+N12</f>
        <v>2860</v>
      </c>
      <c r="O23" s="35"/>
      <c r="P23" s="35">
        <v>7426</v>
      </c>
      <c r="Q23" s="153">
        <f>Q22+Q20+Q9+Q10+Q11+Q12</f>
        <v>7648</v>
      </c>
      <c r="S23" s="95"/>
    </row>
    <row r="24" spans="1:19" ht="12.75">
      <c r="A24" s="102"/>
      <c r="B24" s="95"/>
      <c r="C24" s="96"/>
      <c r="D24" s="35"/>
      <c r="E24" s="37"/>
      <c r="F24" s="35"/>
      <c r="G24" s="35"/>
      <c r="H24" s="37"/>
      <c r="I24" s="35"/>
      <c r="J24" s="35"/>
      <c r="K24" s="37"/>
      <c r="L24" s="35"/>
      <c r="M24" s="35"/>
      <c r="N24" s="153"/>
      <c r="O24" s="35"/>
      <c r="P24" s="35"/>
      <c r="Q24" s="153"/>
      <c r="S24" s="95"/>
    </row>
    <row r="25" spans="1:19" ht="12.75">
      <c r="A25" s="100" t="s">
        <v>214</v>
      </c>
      <c r="B25" s="95"/>
      <c r="C25" s="101"/>
      <c r="D25" s="35"/>
      <c r="E25" s="37"/>
      <c r="F25" s="35"/>
      <c r="G25" s="35"/>
      <c r="H25" s="37"/>
      <c r="I25" s="35"/>
      <c r="J25" s="35"/>
      <c r="K25" s="37"/>
      <c r="L25" s="35"/>
      <c r="M25" s="35"/>
      <c r="N25" s="153"/>
      <c r="O25" s="35"/>
      <c r="P25" s="35"/>
      <c r="Q25" s="153"/>
      <c r="S25" s="95"/>
    </row>
    <row r="26" spans="1:19" ht="12.75">
      <c r="A26" s="100"/>
      <c r="B26" s="95"/>
      <c r="C26" s="101"/>
      <c r="D26" s="35"/>
      <c r="E26" s="37"/>
      <c r="F26" s="35"/>
      <c r="G26" s="35"/>
      <c r="H26" s="37"/>
      <c r="I26" s="35"/>
      <c r="J26" s="35"/>
      <c r="K26" s="37"/>
      <c r="L26" s="35"/>
      <c r="M26" s="35"/>
      <c r="N26" s="153"/>
      <c r="O26" s="35"/>
      <c r="P26" s="35"/>
      <c r="Q26" s="153"/>
      <c r="S26" s="95"/>
    </row>
    <row r="27" spans="1:19" ht="12.75">
      <c r="A27" s="102" t="s">
        <v>190</v>
      </c>
      <c r="B27" s="95"/>
      <c r="C27" s="96"/>
      <c r="D27" s="35">
        <v>1609</v>
      </c>
      <c r="E27" s="37">
        <v>1778</v>
      </c>
      <c r="F27" s="35"/>
      <c r="G27" s="35">
        <v>586</v>
      </c>
      <c r="H27" s="37">
        <v>606</v>
      </c>
      <c r="I27" s="35"/>
      <c r="J27" s="35">
        <v>365</v>
      </c>
      <c r="K27" s="37">
        <v>373</v>
      </c>
      <c r="L27" s="35"/>
      <c r="M27" s="35">
        <v>204</v>
      </c>
      <c r="N27" s="153">
        <v>237</v>
      </c>
      <c r="O27" s="35"/>
      <c r="P27" s="35">
        <v>343</v>
      </c>
      <c r="Q27" s="153">
        <v>338</v>
      </c>
      <c r="S27" s="95"/>
    </row>
    <row r="28" spans="1:19" ht="12.75">
      <c r="A28" s="102" t="s">
        <v>212</v>
      </c>
      <c r="B28" s="95"/>
      <c r="C28" s="96"/>
      <c r="D28" s="35"/>
      <c r="E28" s="37"/>
      <c r="F28" s="35"/>
      <c r="G28" s="35"/>
      <c r="H28" s="37"/>
      <c r="I28" s="35"/>
      <c r="J28" s="35"/>
      <c r="K28" s="37"/>
      <c r="L28" s="35"/>
      <c r="M28" s="35"/>
      <c r="N28" s="153"/>
      <c r="O28" s="35"/>
      <c r="P28" s="35"/>
      <c r="Q28" s="153"/>
      <c r="S28" s="95"/>
    </row>
    <row r="29" spans="1:19" ht="12.75">
      <c r="A29" s="102" t="s">
        <v>76</v>
      </c>
      <c r="B29" s="95"/>
      <c r="C29" s="96"/>
      <c r="D29" s="35">
        <v>836</v>
      </c>
      <c r="E29" s="37">
        <v>969</v>
      </c>
      <c r="F29" s="35"/>
      <c r="G29" s="35">
        <v>394</v>
      </c>
      <c r="H29" s="37">
        <v>437</v>
      </c>
      <c r="I29" s="35"/>
      <c r="J29" s="35">
        <v>169</v>
      </c>
      <c r="K29" s="37">
        <v>193</v>
      </c>
      <c r="L29" s="35"/>
      <c r="M29" s="35">
        <v>146</v>
      </c>
      <c r="N29" s="153">
        <v>136</v>
      </c>
      <c r="O29" s="35"/>
      <c r="P29" s="35">
        <v>280</v>
      </c>
      <c r="Q29" s="153">
        <v>326</v>
      </c>
      <c r="S29" s="95"/>
    </row>
    <row r="30" spans="1:19" ht="12.75">
      <c r="A30" s="102" t="s">
        <v>4</v>
      </c>
      <c r="B30" s="95"/>
      <c r="C30" s="96"/>
      <c r="D30" s="35">
        <v>1127</v>
      </c>
      <c r="E30" s="37">
        <v>1124</v>
      </c>
      <c r="F30" s="35"/>
      <c r="G30" s="35">
        <v>216</v>
      </c>
      <c r="H30" s="37">
        <v>143</v>
      </c>
      <c r="I30" s="35"/>
      <c r="J30" s="35">
        <v>21</v>
      </c>
      <c r="K30" s="37">
        <v>-77</v>
      </c>
      <c r="L30" s="35"/>
      <c r="M30" s="35">
        <v>285</v>
      </c>
      <c r="N30" s="153">
        <v>236</v>
      </c>
      <c r="O30" s="35"/>
      <c r="P30" s="35">
        <v>-11</v>
      </c>
      <c r="Q30" s="153">
        <v>-219</v>
      </c>
      <c r="S30" s="95"/>
    </row>
    <row r="31" spans="1:19" s="10" customFormat="1" ht="12.75">
      <c r="A31" s="50" t="s">
        <v>194</v>
      </c>
      <c r="B31" s="9"/>
      <c r="C31" s="76"/>
      <c r="D31" s="51">
        <v>1374</v>
      </c>
      <c r="E31" s="52">
        <v>1630</v>
      </c>
      <c r="F31" s="35"/>
      <c r="G31" s="51">
        <v>473</v>
      </c>
      <c r="H31" s="52">
        <v>504</v>
      </c>
      <c r="I31" s="35"/>
      <c r="J31" s="51">
        <v>197</v>
      </c>
      <c r="K31" s="52">
        <v>163</v>
      </c>
      <c r="L31" s="35"/>
      <c r="M31" s="51">
        <v>271</v>
      </c>
      <c r="N31" s="194">
        <v>253</v>
      </c>
      <c r="O31" s="35"/>
      <c r="P31" s="51">
        <v>256</v>
      </c>
      <c r="Q31" s="194">
        <v>176</v>
      </c>
      <c r="R31" s="9"/>
      <c r="S31" s="9"/>
    </row>
    <row r="32" spans="1:19" ht="12.75">
      <c r="A32" s="102"/>
      <c r="B32" s="95"/>
      <c r="C32" s="96"/>
      <c r="D32" s="35">
        <v>4946</v>
      </c>
      <c r="E32" s="37">
        <v>5501</v>
      </c>
      <c r="F32" s="35"/>
      <c r="G32" s="35">
        <v>1669</v>
      </c>
      <c r="H32" s="37">
        <v>1690</v>
      </c>
      <c r="I32" s="35"/>
      <c r="J32" s="35">
        <v>752</v>
      </c>
      <c r="K32" s="37">
        <v>652</v>
      </c>
      <c r="L32" s="35"/>
      <c r="M32" s="35">
        <v>906</v>
      </c>
      <c r="N32" s="153">
        <f>SUM(N27:N31)</f>
        <v>862</v>
      </c>
      <c r="O32" s="35"/>
      <c r="P32" s="35">
        <v>868</v>
      </c>
      <c r="Q32" s="153">
        <f>SUM(Q27:Q31)</f>
        <v>621</v>
      </c>
      <c r="S32" s="95"/>
    </row>
    <row r="33" spans="1:19" ht="12.75">
      <c r="A33" s="102"/>
      <c r="B33" s="95"/>
      <c r="C33" s="96"/>
      <c r="D33" s="35"/>
      <c r="E33" s="37"/>
      <c r="F33" s="35"/>
      <c r="G33" s="35"/>
      <c r="H33" s="37"/>
      <c r="I33" s="35"/>
      <c r="J33" s="35"/>
      <c r="K33" s="37"/>
      <c r="L33" s="35"/>
      <c r="M33" s="35"/>
      <c r="N33" s="153"/>
      <c r="O33" s="35"/>
      <c r="P33" s="35"/>
      <c r="Q33" s="153"/>
      <c r="S33" s="95"/>
    </row>
    <row r="34" spans="1:19" ht="12.75">
      <c r="A34" s="100" t="s">
        <v>215</v>
      </c>
      <c r="B34" s="95"/>
      <c r="C34" s="101"/>
      <c r="D34" s="35"/>
      <c r="E34" s="37"/>
      <c r="F34" s="35"/>
      <c r="G34" s="35"/>
      <c r="H34" s="37"/>
      <c r="I34" s="35"/>
      <c r="J34" s="35"/>
      <c r="K34" s="37"/>
      <c r="L34" s="35"/>
      <c r="M34" s="35"/>
      <c r="N34" s="153"/>
      <c r="O34" s="35"/>
      <c r="P34" s="35"/>
      <c r="Q34" s="153"/>
      <c r="S34" s="95"/>
    </row>
    <row r="35" spans="1:19" ht="12.75">
      <c r="A35" s="100"/>
      <c r="B35" s="95"/>
      <c r="C35" s="101"/>
      <c r="D35" s="35"/>
      <c r="E35" s="37"/>
      <c r="F35" s="35"/>
      <c r="G35" s="35"/>
      <c r="H35" s="37"/>
      <c r="I35" s="35"/>
      <c r="J35" s="35"/>
      <c r="K35" s="37"/>
      <c r="L35" s="35"/>
      <c r="M35" s="35"/>
      <c r="N35" s="153"/>
      <c r="O35" s="35"/>
      <c r="P35" s="35"/>
      <c r="Q35" s="153"/>
      <c r="S35" s="95"/>
    </row>
    <row r="36" spans="1:19" ht="14.25">
      <c r="A36" s="102" t="s">
        <v>257</v>
      </c>
      <c r="B36" s="95"/>
      <c r="C36" s="96"/>
      <c r="D36" s="35">
        <v>1822</v>
      </c>
      <c r="E36" s="37">
        <v>2689</v>
      </c>
      <c r="F36" s="35"/>
      <c r="G36" s="35">
        <v>598</v>
      </c>
      <c r="H36" s="37">
        <v>710</v>
      </c>
      <c r="I36" s="35"/>
      <c r="J36" s="35">
        <v>35</v>
      </c>
      <c r="K36" s="37">
        <v>-37</v>
      </c>
      <c r="L36" s="35"/>
      <c r="M36" s="35">
        <v>1030</v>
      </c>
      <c r="N36" s="153">
        <v>1351</v>
      </c>
      <c r="O36" s="35"/>
      <c r="P36" s="35">
        <v>-180</v>
      </c>
      <c r="Q36" s="153">
        <v>-610</v>
      </c>
      <c r="S36" s="95"/>
    </row>
    <row r="37" spans="1:19" ht="12.75">
      <c r="A37" s="102" t="s">
        <v>213</v>
      </c>
      <c r="B37" s="95"/>
      <c r="C37" s="96"/>
      <c r="D37" s="35"/>
      <c r="E37" s="37"/>
      <c r="F37" s="35"/>
      <c r="G37" s="35"/>
      <c r="H37" s="37"/>
      <c r="I37" s="35"/>
      <c r="J37" s="35"/>
      <c r="K37" s="37"/>
      <c r="L37" s="35"/>
      <c r="M37" s="35"/>
      <c r="N37" s="153"/>
      <c r="O37" s="35"/>
      <c r="P37" s="35"/>
      <c r="Q37" s="153"/>
      <c r="S37" s="95"/>
    </row>
    <row r="38" spans="1:19" ht="12.75">
      <c r="A38" s="102" t="s">
        <v>77</v>
      </c>
      <c r="B38" s="95"/>
      <c r="C38" s="96"/>
      <c r="D38" s="35">
        <v>933</v>
      </c>
      <c r="E38" s="37">
        <v>1285</v>
      </c>
      <c r="F38" s="35"/>
      <c r="G38" s="35">
        <v>455</v>
      </c>
      <c r="H38" s="37">
        <v>643</v>
      </c>
      <c r="I38" s="35"/>
      <c r="J38" s="35">
        <v>312</v>
      </c>
      <c r="K38" s="37">
        <v>424</v>
      </c>
      <c r="L38" s="35"/>
      <c r="M38" s="35">
        <v>251</v>
      </c>
      <c r="N38" s="153">
        <v>259</v>
      </c>
      <c r="O38" s="35"/>
      <c r="P38" s="35">
        <v>257</v>
      </c>
      <c r="Q38" s="153">
        <v>383</v>
      </c>
      <c r="S38" s="95"/>
    </row>
    <row r="39" spans="1:19" s="10" customFormat="1" ht="12.75">
      <c r="A39" s="50" t="s">
        <v>194</v>
      </c>
      <c r="B39" s="9"/>
      <c r="C39" s="76"/>
      <c r="D39" s="35">
        <v>1644</v>
      </c>
      <c r="E39" s="37">
        <v>1846</v>
      </c>
      <c r="F39" s="35"/>
      <c r="G39" s="35">
        <v>423</v>
      </c>
      <c r="H39" s="37">
        <v>386</v>
      </c>
      <c r="I39" s="35"/>
      <c r="J39" s="35">
        <v>183</v>
      </c>
      <c r="K39" s="37">
        <v>138</v>
      </c>
      <c r="L39" s="35"/>
      <c r="M39" s="35">
        <v>212</v>
      </c>
      <c r="N39" s="153">
        <v>265</v>
      </c>
      <c r="O39" s="35"/>
      <c r="P39" s="35">
        <v>180</v>
      </c>
      <c r="Q39" s="153">
        <v>150</v>
      </c>
      <c r="R39" s="9"/>
      <c r="S39" s="9"/>
    </row>
    <row r="40" spans="1:19" s="10" customFormat="1" ht="12.75">
      <c r="A40" s="50" t="s">
        <v>191</v>
      </c>
      <c r="B40" s="9"/>
      <c r="C40" s="76"/>
      <c r="D40" s="72">
        <v>0</v>
      </c>
      <c r="E40" s="52">
        <v>-1</v>
      </c>
      <c r="F40" s="35"/>
      <c r="G40" s="72">
        <v>0</v>
      </c>
      <c r="H40" s="73">
        <v>0</v>
      </c>
      <c r="I40" s="35"/>
      <c r="J40" s="72">
        <v>0</v>
      </c>
      <c r="K40" s="73">
        <v>0</v>
      </c>
      <c r="L40" s="35"/>
      <c r="M40" s="72">
        <v>0</v>
      </c>
      <c r="N40" s="73">
        <v>0</v>
      </c>
      <c r="O40" s="35"/>
      <c r="P40" s="72">
        <v>0</v>
      </c>
      <c r="Q40" s="73">
        <v>0</v>
      </c>
      <c r="R40" s="9"/>
      <c r="S40" s="9"/>
    </row>
    <row r="41" spans="1:19" ht="12.75">
      <c r="A41" s="102"/>
      <c r="B41" s="95"/>
      <c r="C41" s="96"/>
      <c r="D41" s="35">
        <v>4399</v>
      </c>
      <c r="E41" s="37">
        <v>5819</v>
      </c>
      <c r="F41" s="35"/>
      <c r="G41" s="35">
        <v>1476</v>
      </c>
      <c r="H41" s="37">
        <v>1739</v>
      </c>
      <c r="I41" s="35"/>
      <c r="J41" s="35">
        <v>530</v>
      </c>
      <c r="K41" s="37">
        <v>525</v>
      </c>
      <c r="L41" s="35"/>
      <c r="M41" s="35">
        <v>1493</v>
      </c>
      <c r="N41" s="153">
        <f>SUM(N36:N39)</f>
        <v>1875</v>
      </c>
      <c r="O41" s="35"/>
      <c r="P41" s="35">
        <v>257</v>
      </c>
      <c r="Q41" s="153">
        <f>SUM(Q36:Q39)</f>
        <v>-77</v>
      </c>
      <c r="S41" s="95"/>
    </row>
    <row r="42" spans="1:19" ht="12.75">
      <c r="A42" s="102"/>
      <c r="B42" s="95"/>
      <c r="C42" s="96"/>
      <c r="D42" s="35"/>
      <c r="E42" s="37"/>
      <c r="F42" s="35"/>
      <c r="G42" s="35"/>
      <c r="H42" s="37"/>
      <c r="I42" s="35"/>
      <c r="J42" s="35"/>
      <c r="K42" s="37"/>
      <c r="L42" s="35"/>
      <c r="M42" s="35"/>
      <c r="N42" s="153"/>
      <c r="O42" s="35"/>
      <c r="P42" s="35"/>
      <c r="Q42" s="153"/>
      <c r="S42" s="95"/>
    </row>
    <row r="43" spans="1:19" ht="12.75">
      <c r="A43" s="102" t="s">
        <v>193</v>
      </c>
      <c r="B43" s="95"/>
      <c r="C43" s="96"/>
      <c r="D43" s="43">
        <v>0</v>
      </c>
      <c r="E43" s="44">
        <v>0</v>
      </c>
      <c r="F43" s="35"/>
      <c r="G43" s="43">
        <v>0</v>
      </c>
      <c r="H43" s="44">
        <v>0</v>
      </c>
      <c r="I43" s="35"/>
      <c r="J43" s="35">
        <v>2447</v>
      </c>
      <c r="K43" s="37">
        <v>3542</v>
      </c>
      <c r="L43" s="35"/>
      <c r="M43" s="43">
        <v>0</v>
      </c>
      <c r="N43" s="183">
        <v>0</v>
      </c>
      <c r="O43" s="35"/>
      <c r="P43" s="43">
        <v>0</v>
      </c>
      <c r="Q43" s="183">
        <v>0</v>
      </c>
      <c r="S43" s="95"/>
    </row>
    <row r="44" spans="1:19" ht="12.75">
      <c r="A44" s="102" t="s">
        <v>250</v>
      </c>
      <c r="B44" s="95"/>
      <c r="C44" s="96"/>
      <c r="D44" s="35">
        <v>170</v>
      </c>
      <c r="E44" s="37">
        <v>216</v>
      </c>
      <c r="F44" s="35"/>
      <c r="G44" s="35">
        <v>343</v>
      </c>
      <c r="H44" s="37">
        <v>639</v>
      </c>
      <c r="I44" s="35"/>
      <c r="J44" s="35">
        <v>140</v>
      </c>
      <c r="K44" s="37">
        <v>407</v>
      </c>
      <c r="L44" s="35"/>
      <c r="M44" s="35">
        <v>185</v>
      </c>
      <c r="N44" s="153">
        <v>312</v>
      </c>
      <c r="O44" s="35"/>
      <c r="P44" s="35">
        <v>119</v>
      </c>
      <c r="Q44" s="153">
        <v>526</v>
      </c>
      <c r="S44" s="95"/>
    </row>
    <row r="45" spans="1:19" ht="12.75">
      <c r="A45" s="102" t="s">
        <v>192</v>
      </c>
      <c r="B45" s="95"/>
      <c r="C45" s="96"/>
      <c r="D45" s="35">
        <v>-118</v>
      </c>
      <c r="E45" s="37">
        <v>-153</v>
      </c>
      <c r="F45" s="35"/>
      <c r="G45" s="43">
        <v>0</v>
      </c>
      <c r="H45" s="44">
        <v>0</v>
      </c>
      <c r="I45" s="35"/>
      <c r="J45" s="43">
        <v>0</v>
      </c>
      <c r="K45" s="44">
        <v>0</v>
      </c>
      <c r="L45" s="35"/>
      <c r="M45" s="43">
        <v>0</v>
      </c>
      <c r="N45" s="183">
        <v>0</v>
      </c>
      <c r="O45" s="35"/>
      <c r="P45" s="43">
        <v>0</v>
      </c>
      <c r="Q45" s="183">
        <v>0</v>
      </c>
      <c r="S45" s="95"/>
    </row>
    <row r="46" spans="1:19" ht="12.75">
      <c r="A46" s="102"/>
      <c r="B46" s="95"/>
      <c r="C46" s="96"/>
      <c r="D46" s="35"/>
      <c r="E46" s="37"/>
      <c r="F46" s="35"/>
      <c r="G46" s="35"/>
      <c r="H46" s="37"/>
      <c r="I46" s="35"/>
      <c r="J46" s="35"/>
      <c r="K46" s="37"/>
      <c r="L46" s="35"/>
      <c r="M46" s="35"/>
      <c r="N46" s="153"/>
      <c r="O46" s="35"/>
      <c r="P46" s="35"/>
      <c r="Q46" s="153"/>
      <c r="S46" s="95"/>
    </row>
    <row r="47" spans="1:19" ht="13.5" thickBot="1">
      <c r="A47" s="100" t="s">
        <v>78</v>
      </c>
      <c r="B47" s="95"/>
      <c r="C47" s="101"/>
      <c r="D47" s="53">
        <v>35478</v>
      </c>
      <c r="E47" s="54">
        <v>41017</v>
      </c>
      <c r="F47" s="35"/>
      <c r="G47" s="53">
        <v>13178</v>
      </c>
      <c r="H47" s="54">
        <v>14490</v>
      </c>
      <c r="I47" s="35"/>
      <c r="J47" s="53">
        <v>10075</v>
      </c>
      <c r="K47" s="54">
        <v>11757</v>
      </c>
      <c r="L47" s="35"/>
      <c r="M47" s="53">
        <v>5075</v>
      </c>
      <c r="N47" s="195">
        <f>N45+N44+N43+N41+N32+N23</f>
        <v>5909</v>
      </c>
      <c r="O47" s="35"/>
      <c r="P47" s="53">
        <v>8670</v>
      </c>
      <c r="Q47" s="195">
        <f>Q45+Q44+Q43+Q41+Q32+Q23</f>
        <v>8718</v>
      </c>
      <c r="S47" s="95"/>
    </row>
    <row r="48" spans="1:19" ht="13.5" thickTop="1">
      <c r="A48" s="100"/>
      <c r="B48" s="95"/>
      <c r="C48" s="101"/>
      <c r="D48" s="35"/>
      <c r="E48" s="37"/>
      <c r="F48" s="35"/>
      <c r="G48" s="35"/>
      <c r="H48" s="37"/>
      <c r="I48" s="35"/>
      <c r="J48" s="35"/>
      <c r="K48" s="37"/>
      <c r="L48" s="35"/>
      <c r="M48" s="35"/>
      <c r="N48" s="153"/>
      <c r="O48" s="35"/>
      <c r="P48" s="35"/>
      <c r="Q48" s="153"/>
      <c r="S48" s="95"/>
    </row>
    <row r="49" spans="1:19" ht="15.75" customHeight="1">
      <c r="A49" s="100"/>
      <c r="B49" s="95"/>
      <c r="C49" s="101"/>
      <c r="D49" s="35"/>
      <c r="E49" s="37"/>
      <c r="F49" s="35"/>
      <c r="G49" s="35"/>
      <c r="H49" s="37"/>
      <c r="I49" s="35"/>
      <c r="J49" s="333" t="s">
        <v>254</v>
      </c>
      <c r="K49" s="333"/>
      <c r="L49" s="333"/>
      <c r="M49" s="333"/>
      <c r="P49" s="35">
        <v>-40</v>
      </c>
      <c r="Q49" s="153">
        <v>-735</v>
      </c>
      <c r="S49" s="95"/>
    </row>
    <row r="50" spans="1:19" ht="13.5" thickBot="1">
      <c r="A50" s="100"/>
      <c r="B50" s="95"/>
      <c r="C50" s="101"/>
      <c r="D50" s="35"/>
      <c r="E50" s="37"/>
      <c r="F50" s="35"/>
      <c r="G50" s="35"/>
      <c r="H50" s="37"/>
      <c r="I50" s="35"/>
      <c r="J50" s="35" t="s">
        <v>68</v>
      </c>
      <c r="K50" s="37"/>
      <c r="L50" s="37"/>
      <c r="P50" s="53">
        <v>8630</v>
      </c>
      <c r="Q50" s="195">
        <f>Q49+Q47</f>
        <v>7983</v>
      </c>
      <c r="S50" s="95"/>
    </row>
    <row r="51" spans="2:19" ht="13.5" thickTop="1">
      <c r="B51" s="101"/>
      <c r="C51" s="101"/>
      <c r="D51" s="104"/>
      <c r="E51" s="242"/>
      <c r="F51" s="104"/>
      <c r="G51" s="104"/>
      <c r="H51" s="242"/>
      <c r="I51" s="104"/>
      <c r="J51" s="104"/>
      <c r="K51" s="242"/>
      <c r="L51" s="104"/>
      <c r="M51" s="104"/>
      <c r="N51" s="257"/>
      <c r="O51" s="104"/>
      <c r="P51" s="104"/>
      <c r="Q51" s="257"/>
      <c r="S51" s="95"/>
    </row>
    <row r="52" spans="1:19" ht="12.75">
      <c r="A52" s="95" t="s">
        <v>96</v>
      </c>
      <c r="B52" s="101"/>
      <c r="C52" s="101"/>
      <c r="D52" s="104"/>
      <c r="E52" s="242"/>
      <c r="F52" s="104"/>
      <c r="G52" s="104"/>
      <c r="H52" s="242"/>
      <c r="I52" s="104"/>
      <c r="J52" s="104"/>
      <c r="K52" s="242"/>
      <c r="L52" s="104"/>
      <c r="M52" s="104"/>
      <c r="N52" s="257"/>
      <c r="O52" s="104"/>
      <c r="P52" s="104"/>
      <c r="Q52" s="257"/>
      <c r="S52" s="95"/>
    </row>
    <row r="53" spans="1:19" ht="12.75">
      <c r="A53" s="47" t="s">
        <v>99</v>
      </c>
      <c r="B53" s="39" t="s">
        <v>233</v>
      </c>
      <c r="C53" s="101"/>
      <c r="D53" s="104"/>
      <c r="E53" s="242"/>
      <c r="F53" s="104"/>
      <c r="G53" s="104"/>
      <c r="H53" s="242"/>
      <c r="I53" s="104"/>
      <c r="J53" s="104"/>
      <c r="K53" s="242"/>
      <c r="L53" s="104"/>
      <c r="M53" s="104"/>
      <c r="N53" s="257"/>
      <c r="O53" s="104"/>
      <c r="P53" s="104"/>
      <c r="Q53" s="257"/>
      <c r="S53" s="95"/>
    </row>
    <row r="54" spans="1:19" ht="12.75" customHeight="1">
      <c r="A54" s="47" t="s">
        <v>100</v>
      </c>
      <c r="B54" s="106" t="s">
        <v>5</v>
      </c>
      <c r="C54" s="101"/>
      <c r="D54" s="104"/>
      <c r="E54" s="242"/>
      <c r="F54" s="104"/>
      <c r="G54" s="104"/>
      <c r="H54" s="242"/>
      <c r="I54" s="104"/>
      <c r="J54" s="104"/>
      <c r="K54" s="242"/>
      <c r="L54" s="104"/>
      <c r="M54" s="104"/>
      <c r="N54" s="257"/>
      <c r="O54" s="104"/>
      <c r="P54" s="104"/>
      <c r="Q54" s="257"/>
      <c r="S54" s="95"/>
    </row>
    <row r="55" spans="1:19" ht="12.75" customHeight="1">
      <c r="A55" s="105" t="s">
        <v>101</v>
      </c>
      <c r="B55" s="106" t="s">
        <v>3</v>
      </c>
      <c r="C55" s="101"/>
      <c r="D55" s="104"/>
      <c r="E55" s="242"/>
      <c r="F55" s="104"/>
      <c r="G55" s="104"/>
      <c r="H55" s="242"/>
      <c r="I55" s="104"/>
      <c r="J55" s="104"/>
      <c r="K55" s="242"/>
      <c r="L55" s="104"/>
      <c r="M55" s="104"/>
      <c r="N55" s="257"/>
      <c r="O55" s="104"/>
      <c r="P55" s="104"/>
      <c r="Q55" s="257"/>
      <c r="S55" s="95"/>
    </row>
    <row r="56" spans="1:33" s="95" customFormat="1" ht="12.75" customHeight="1">
      <c r="A56" s="105" t="s">
        <v>102</v>
      </c>
      <c r="B56" s="98" t="s">
        <v>236</v>
      </c>
      <c r="C56" s="98"/>
      <c r="D56" s="98"/>
      <c r="E56" s="94"/>
      <c r="H56" s="94"/>
      <c r="K56" s="94"/>
      <c r="N56" s="144"/>
      <c r="Q56" s="144"/>
      <c r="S56" s="98"/>
      <c r="T56" s="98"/>
      <c r="U56" s="98"/>
      <c r="V56" s="98"/>
      <c r="W56" s="98"/>
      <c r="X56" s="98"/>
      <c r="Y56" s="98"/>
      <c r="Z56" s="98"/>
      <c r="AA56" s="98"/>
      <c r="AB56" s="98"/>
      <c r="AC56" s="98"/>
      <c r="AD56" s="98"/>
      <c r="AE56" s="98"/>
      <c r="AF56" s="98"/>
      <c r="AG56" s="98"/>
    </row>
  </sheetData>
  <mergeCells count="6">
    <mergeCell ref="J49:M49"/>
    <mergeCell ref="P3:Q3"/>
    <mergeCell ref="D3:E3"/>
    <mergeCell ref="G3:H3"/>
    <mergeCell ref="J3:K3"/>
    <mergeCell ref="M3:N3"/>
  </mergeCells>
  <printOptions/>
  <pageMargins left="0.7480314960629921" right="0.7480314960629921" top="0.984251968503937" bottom="0.984251968503937" header="0.5118110236220472" footer="0.5118110236220472"/>
  <pageSetup fitToHeight="1" fitToWidth="1" horizontalDpi="600" verticalDpi="600" orientation="portrait" paperSize="9" scale="72" r:id="rId1"/>
  <headerFooter alignWithMargins="0">
    <oddHeader>&amp;L&amp;"Vodafone Rg,Regular"Vodafone Group Plc&amp;C&amp;"Vodafone Rg,Regular"&amp;A</oddHead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GT67"/>
  <sheetViews>
    <sheetView showGridLines="0" view="pageBreakPreview" zoomScaleSheetLayoutView="100" workbookViewId="0" topLeftCell="A1">
      <selection activeCell="A1" sqref="A1"/>
    </sheetView>
  </sheetViews>
  <sheetFormatPr defaultColWidth="9.140625" defaultRowHeight="12.75"/>
  <cols>
    <col min="1" max="1" width="4.28125" style="14" customWidth="1"/>
    <col min="2" max="2" width="27.7109375" style="10" bestFit="1" customWidth="1"/>
    <col min="3" max="5" width="11.140625" style="107" bestFit="1" customWidth="1"/>
    <col min="6" max="6" width="10.28125" style="107" customWidth="1"/>
    <col min="7" max="7" width="10.28125" style="10" customWidth="1"/>
    <col min="8" max="8" width="11.140625" style="107" bestFit="1" customWidth="1"/>
    <col min="9" max="16" width="10.28125" style="10" customWidth="1"/>
    <col min="17" max="17" width="8.57421875" style="10" bestFit="1" customWidth="1"/>
    <col min="18" max="18" width="9.8515625" style="107" bestFit="1" customWidth="1"/>
    <col min="19" max="21" width="10.28125" style="107" bestFit="1" customWidth="1"/>
    <col min="22" max="22" width="9.8515625" style="107" bestFit="1" customWidth="1"/>
    <col min="23" max="24" width="10.28125" style="107" bestFit="1" customWidth="1"/>
    <col min="25" max="25" width="10.28125" style="107" customWidth="1"/>
    <col min="26" max="27" width="8.57421875" style="10" bestFit="1" customWidth="1"/>
    <col min="28" max="16384" width="9.140625" style="10" customWidth="1"/>
  </cols>
  <sheetData>
    <row r="1" spans="3:28" ht="12.75">
      <c r="C1" s="343" t="s">
        <v>237</v>
      </c>
      <c r="D1" s="343"/>
      <c r="E1" s="343"/>
      <c r="F1" s="343"/>
      <c r="G1" s="343"/>
      <c r="H1" s="343"/>
      <c r="I1" s="343"/>
      <c r="J1" s="343"/>
      <c r="L1" s="343" t="s">
        <v>238</v>
      </c>
      <c r="M1" s="343"/>
      <c r="N1" s="343"/>
      <c r="O1" s="343"/>
      <c r="P1" s="343"/>
      <c r="Q1" s="343"/>
      <c r="R1" s="343"/>
      <c r="S1" s="343"/>
      <c r="T1" s="10"/>
      <c r="U1" s="341" t="s">
        <v>239</v>
      </c>
      <c r="V1" s="341"/>
      <c r="W1" s="341"/>
      <c r="X1" s="341"/>
      <c r="Y1" s="341"/>
      <c r="Z1" s="341"/>
      <c r="AA1" s="341"/>
      <c r="AB1" s="341"/>
    </row>
    <row r="2" spans="1:28" s="92" customFormat="1" ht="12.75">
      <c r="A2" s="120"/>
      <c r="C2" s="91" t="s">
        <v>107</v>
      </c>
      <c r="D2" s="91" t="s">
        <v>108</v>
      </c>
      <c r="E2" s="91" t="s">
        <v>109</v>
      </c>
      <c r="F2" s="91" t="s">
        <v>163</v>
      </c>
      <c r="G2" s="91" t="s">
        <v>164</v>
      </c>
      <c r="H2" s="91" t="s">
        <v>189</v>
      </c>
      <c r="I2" s="91" t="s">
        <v>195</v>
      </c>
      <c r="J2" s="91" t="s">
        <v>246</v>
      </c>
      <c r="K2" s="90"/>
      <c r="L2" s="91" t="s">
        <v>107</v>
      </c>
      <c r="M2" s="91" t="s">
        <v>108</v>
      </c>
      <c r="N2" s="91" t="s">
        <v>109</v>
      </c>
      <c r="O2" s="91" t="s">
        <v>163</v>
      </c>
      <c r="P2" s="91" t="s">
        <v>164</v>
      </c>
      <c r="Q2" s="91" t="s">
        <v>189</v>
      </c>
      <c r="R2" s="266" t="s">
        <v>195</v>
      </c>
      <c r="S2" s="91" t="s">
        <v>246</v>
      </c>
      <c r="T2" s="90"/>
      <c r="U2" s="91" t="s">
        <v>107</v>
      </c>
      <c r="V2" s="91" t="s">
        <v>108</v>
      </c>
      <c r="W2" s="91" t="s">
        <v>109</v>
      </c>
      <c r="X2" s="91" t="s">
        <v>163</v>
      </c>
      <c r="Y2" s="91" t="s">
        <v>164</v>
      </c>
      <c r="Z2" s="91" t="s">
        <v>189</v>
      </c>
      <c r="AA2" s="266" t="s">
        <v>195</v>
      </c>
      <c r="AB2" s="91" t="s">
        <v>246</v>
      </c>
    </row>
    <row r="3" spans="1:28" ht="15.75">
      <c r="A3" s="41" t="s">
        <v>178</v>
      </c>
      <c r="G3" s="107"/>
      <c r="I3" s="107"/>
      <c r="J3" s="107"/>
      <c r="R3" s="5"/>
      <c r="S3" s="5"/>
      <c r="T3" s="10"/>
      <c r="Z3" s="107"/>
      <c r="AA3" s="271"/>
      <c r="AB3" s="271"/>
    </row>
    <row r="4" spans="1:28" ht="12.75">
      <c r="A4" s="41"/>
      <c r="G4" s="107"/>
      <c r="I4" s="107"/>
      <c r="J4" s="107"/>
      <c r="R4" s="5"/>
      <c r="S4" s="5"/>
      <c r="T4" s="10"/>
      <c r="Z4" s="107"/>
      <c r="AA4" s="271"/>
      <c r="AB4" s="271"/>
    </row>
    <row r="5" spans="1:28" ht="12.75">
      <c r="A5" s="41" t="s">
        <v>15</v>
      </c>
      <c r="G5" s="107"/>
      <c r="I5" s="107"/>
      <c r="J5" s="107"/>
      <c r="R5" s="5"/>
      <c r="S5" s="5"/>
      <c r="T5" s="10"/>
      <c r="Z5" s="107"/>
      <c r="AA5" s="271"/>
      <c r="AB5" s="271"/>
    </row>
    <row r="6" spans="1:202" ht="12.75">
      <c r="A6" s="41"/>
      <c r="B6" s="10" t="s">
        <v>16</v>
      </c>
      <c r="C6" s="112">
        <v>32541</v>
      </c>
      <c r="D6" s="112">
        <v>33920</v>
      </c>
      <c r="E6" s="112">
        <v>34412</v>
      </c>
      <c r="F6" s="112">
        <v>35295</v>
      </c>
      <c r="G6" s="112">
        <v>36191</v>
      </c>
      <c r="H6" s="112">
        <v>36169</v>
      </c>
      <c r="I6" s="112">
        <v>35471</v>
      </c>
      <c r="J6" s="310">
        <v>34920</v>
      </c>
      <c r="L6" s="23">
        <v>0.55</v>
      </c>
      <c r="M6" s="23">
        <v>0.559</v>
      </c>
      <c r="N6" s="23">
        <v>0.559</v>
      </c>
      <c r="O6" s="23">
        <v>0.563</v>
      </c>
      <c r="P6" s="23">
        <v>0.567</v>
      </c>
      <c r="Q6" s="23">
        <v>0.56</v>
      </c>
      <c r="R6" s="192">
        <v>0.549</v>
      </c>
      <c r="S6" s="250">
        <v>0.5413118480972596</v>
      </c>
      <c r="T6" s="10"/>
      <c r="U6" s="112">
        <v>923</v>
      </c>
      <c r="V6" s="112">
        <v>1379</v>
      </c>
      <c r="W6" s="112">
        <v>492</v>
      </c>
      <c r="X6" s="112">
        <v>883</v>
      </c>
      <c r="Y6" s="112">
        <v>896</v>
      </c>
      <c r="Z6" s="112">
        <v>-22</v>
      </c>
      <c r="AA6" s="269">
        <v>-698</v>
      </c>
      <c r="AB6" s="322">
        <v>-551</v>
      </c>
      <c r="AC6" s="112"/>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row>
    <row r="7" spans="1:202" ht="12.75">
      <c r="A7" s="41"/>
      <c r="B7" s="10" t="s">
        <v>17</v>
      </c>
      <c r="C7" s="112">
        <v>22407</v>
      </c>
      <c r="D7" s="112">
        <v>22791</v>
      </c>
      <c r="E7" s="112">
        <v>23068</v>
      </c>
      <c r="F7" s="112">
        <v>23056</v>
      </c>
      <c r="G7" s="112">
        <v>23199</v>
      </c>
      <c r="H7" s="112">
        <v>23091</v>
      </c>
      <c r="I7" s="112">
        <v>22914</v>
      </c>
      <c r="J7" s="310">
        <v>22613</v>
      </c>
      <c r="L7" s="23">
        <v>0.917</v>
      </c>
      <c r="M7" s="23">
        <v>0.912</v>
      </c>
      <c r="N7" s="23">
        <v>0.905</v>
      </c>
      <c r="O7" s="23">
        <v>0.898</v>
      </c>
      <c r="P7" s="23">
        <v>0.893</v>
      </c>
      <c r="Q7" s="23">
        <v>0.886</v>
      </c>
      <c r="R7" s="192">
        <v>0.878</v>
      </c>
      <c r="S7" s="250">
        <v>0.8708889088511215</v>
      </c>
      <c r="T7" s="10"/>
      <c r="U7" s="112">
        <v>644</v>
      </c>
      <c r="V7" s="112">
        <v>384</v>
      </c>
      <c r="W7" s="112">
        <v>277</v>
      </c>
      <c r="X7" s="112">
        <v>-12</v>
      </c>
      <c r="Y7" s="112">
        <v>143</v>
      </c>
      <c r="Z7" s="112">
        <v>-108</v>
      </c>
      <c r="AA7" s="269">
        <v>-177</v>
      </c>
      <c r="AB7" s="322">
        <v>-301</v>
      </c>
      <c r="AC7" s="112"/>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row>
    <row r="8" spans="1:202" ht="12.75">
      <c r="A8" s="41"/>
      <c r="B8" s="10" t="s">
        <v>69</v>
      </c>
      <c r="C8" s="112">
        <v>15473</v>
      </c>
      <c r="D8" s="112">
        <v>15810</v>
      </c>
      <c r="E8" s="112">
        <v>16039</v>
      </c>
      <c r="F8" s="112">
        <v>16210</v>
      </c>
      <c r="G8" s="112">
        <v>16386</v>
      </c>
      <c r="H8" s="112">
        <v>16538</v>
      </c>
      <c r="I8" s="112">
        <v>16910</v>
      </c>
      <c r="J8" s="310">
        <v>16991</v>
      </c>
      <c r="L8" s="23">
        <v>0.434</v>
      </c>
      <c r="M8" s="23">
        <v>0.427</v>
      </c>
      <c r="N8" s="23">
        <v>0.42</v>
      </c>
      <c r="O8" s="23">
        <v>0.412</v>
      </c>
      <c r="P8" s="23">
        <v>0.408</v>
      </c>
      <c r="Q8" s="23">
        <v>0.406</v>
      </c>
      <c r="R8" s="192">
        <v>0.41</v>
      </c>
      <c r="S8" s="250">
        <v>0.40837914710171286</v>
      </c>
      <c r="T8" s="10"/>
      <c r="U8" s="115">
        <v>294</v>
      </c>
      <c r="V8" s="115">
        <v>337</v>
      </c>
      <c r="W8" s="115">
        <v>229</v>
      </c>
      <c r="X8" s="115">
        <v>171</v>
      </c>
      <c r="Y8" s="115">
        <v>176</v>
      </c>
      <c r="Z8" s="115">
        <v>152</v>
      </c>
      <c r="AA8" s="272">
        <v>372</v>
      </c>
      <c r="AB8" s="323">
        <v>81</v>
      </c>
      <c r="AC8" s="112"/>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row>
    <row r="9" spans="1:202" ht="12.75">
      <c r="A9" s="41"/>
      <c r="B9" s="10" t="s">
        <v>70</v>
      </c>
      <c r="C9" s="113">
        <v>17959</v>
      </c>
      <c r="D9" s="113">
        <v>18447</v>
      </c>
      <c r="E9" s="113">
        <v>18537</v>
      </c>
      <c r="F9" s="113">
        <v>18510</v>
      </c>
      <c r="G9" s="113">
        <v>18717</v>
      </c>
      <c r="H9" s="113">
        <v>19166</v>
      </c>
      <c r="I9" s="113">
        <v>18716</v>
      </c>
      <c r="J9" s="311">
        <v>18557</v>
      </c>
      <c r="L9" s="221">
        <v>0.602</v>
      </c>
      <c r="M9" s="221">
        <v>0.605</v>
      </c>
      <c r="N9" s="221">
        <v>0.6</v>
      </c>
      <c r="O9" s="221">
        <v>0.592</v>
      </c>
      <c r="P9" s="221">
        <v>0.588</v>
      </c>
      <c r="Q9" s="221">
        <v>0.588</v>
      </c>
      <c r="R9" s="267">
        <v>0.585</v>
      </c>
      <c r="S9" s="318">
        <v>0.5738191145110829</v>
      </c>
      <c r="T9" s="10"/>
      <c r="U9" s="113">
        <v>312</v>
      </c>
      <c r="V9" s="113">
        <v>488</v>
      </c>
      <c r="W9" s="113">
        <v>90</v>
      </c>
      <c r="X9" s="113">
        <v>-27</v>
      </c>
      <c r="Y9" s="113">
        <v>207</v>
      </c>
      <c r="Z9" s="113">
        <v>449</v>
      </c>
      <c r="AA9" s="273">
        <v>-450</v>
      </c>
      <c r="AB9" s="324">
        <v>-159</v>
      </c>
      <c r="AC9" s="112"/>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row>
    <row r="10" spans="1:202" ht="12.75">
      <c r="A10" s="41"/>
      <c r="C10" s="112">
        <v>88380</v>
      </c>
      <c r="D10" s="112">
        <v>90968</v>
      </c>
      <c r="E10" s="112">
        <v>92056</v>
      </c>
      <c r="F10" s="112">
        <v>93071</v>
      </c>
      <c r="G10" s="112">
        <v>94493</v>
      </c>
      <c r="H10" s="112">
        <v>94964</v>
      </c>
      <c r="I10" s="112">
        <v>94011</v>
      </c>
      <c r="J10" s="310">
        <v>93081</v>
      </c>
      <c r="L10" s="23">
        <v>0.653</v>
      </c>
      <c r="M10" s="23">
        <v>0.653</v>
      </c>
      <c r="N10" s="23">
        <v>0.649</v>
      </c>
      <c r="O10" s="23">
        <v>0.645</v>
      </c>
      <c r="P10" s="23">
        <v>0.642</v>
      </c>
      <c r="Q10" s="23">
        <v>0.636</v>
      </c>
      <c r="R10" s="192">
        <v>0.63</v>
      </c>
      <c r="S10" s="250">
        <v>0.622</v>
      </c>
      <c r="T10" s="10"/>
      <c r="U10" s="112">
        <v>2173</v>
      </c>
      <c r="V10" s="112">
        <v>2588</v>
      </c>
      <c r="W10" s="112">
        <v>1088</v>
      </c>
      <c r="X10" s="112">
        <v>1015</v>
      </c>
      <c r="Y10" s="112">
        <v>1422</v>
      </c>
      <c r="Z10" s="112">
        <v>471</v>
      </c>
      <c r="AA10" s="269">
        <f>SUM(AA6:AA9)</f>
        <v>-953</v>
      </c>
      <c r="AB10" s="322">
        <f>SUM(AB6:AB9)</f>
        <v>-930</v>
      </c>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row>
    <row r="11" spans="1:202" ht="12.75">
      <c r="A11" s="41"/>
      <c r="C11" s="112"/>
      <c r="D11" s="112"/>
      <c r="E11" s="112"/>
      <c r="F11" s="112"/>
      <c r="G11" s="112"/>
      <c r="H11" s="112"/>
      <c r="I11" s="112"/>
      <c r="J11" s="310"/>
      <c r="L11" s="23"/>
      <c r="M11" s="23"/>
      <c r="N11" s="23"/>
      <c r="O11" s="23"/>
      <c r="P11" s="23"/>
      <c r="Q11" s="23"/>
      <c r="R11" s="192"/>
      <c r="S11" s="250"/>
      <c r="T11" s="10"/>
      <c r="U11" s="112"/>
      <c r="V11" s="112"/>
      <c r="W11" s="112"/>
      <c r="X11" s="112"/>
      <c r="Y11" s="112"/>
      <c r="Z11" s="112"/>
      <c r="AA11" s="269"/>
      <c r="AB11" s="322"/>
      <c r="AC11" s="11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row>
    <row r="12" spans="1:202" ht="12.75">
      <c r="A12" s="41" t="s">
        <v>71</v>
      </c>
      <c r="C12" s="112"/>
      <c r="D12" s="112"/>
      <c r="E12" s="112"/>
      <c r="F12" s="112"/>
      <c r="G12" s="112"/>
      <c r="H12" s="112"/>
      <c r="I12" s="112"/>
      <c r="J12" s="310"/>
      <c r="L12" s="23"/>
      <c r="M12" s="23"/>
      <c r="N12" s="23"/>
      <c r="O12" s="23"/>
      <c r="P12" s="23"/>
      <c r="Q12" s="23"/>
      <c r="R12" s="192"/>
      <c r="S12" s="250"/>
      <c r="T12" s="10"/>
      <c r="U12" s="112"/>
      <c r="V12" s="112"/>
      <c r="W12" s="112"/>
      <c r="X12" s="112"/>
      <c r="Y12" s="112"/>
      <c r="Z12" s="112"/>
      <c r="AA12" s="269"/>
      <c r="AB12" s="322"/>
      <c r="AC12" s="11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row>
    <row r="13" spans="1:202" ht="12.75">
      <c r="A13" s="41"/>
      <c r="B13" s="10" t="s">
        <v>199</v>
      </c>
      <c r="C13" s="112">
        <v>1075</v>
      </c>
      <c r="D13" s="112">
        <v>1127</v>
      </c>
      <c r="E13" s="112">
        <v>1130</v>
      </c>
      <c r="F13" s="112">
        <v>1156</v>
      </c>
      <c r="G13" s="112">
        <v>1215</v>
      </c>
      <c r="H13" s="112">
        <v>1311</v>
      </c>
      <c r="I13" s="112">
        <v>1396</v>
      </c>
      <c r="J13" s="310">
        <v>1515</v>
      </c>
      <c r="L13" s="23">
        <v>0.961</v>
      </c>
      <c r="M13" s="23">
        <v>0.949</v>
      </c>
      <c r="N13" s="23">
        <v>0.941</v>
      </c>
      <c r="O13" s="23">
        <v>0.938</v>
      </c>
      <c r="P13" s="23">
        <v>0.937</v>
      </c>
      <c r="Q13" s="23">
        <v>0.94</v>
      </c>
      <c r="R13" s="192">
        <v>0.935</v>
      </c>
      <c r="S13" s="250">
        <v>0.9364916687179481</v>
      </c>
      <c r="T13" s="10"/>
      <c r="U13" s="112">
        <v>71</v>
      </c>
      <c r="V13" s="112">
        <v>52</v>
      </c>
      <c r="W13" s="112">
        <v>3</v>
      </c>
      <c r="X13" s="112">
        <v>26</v>
      </c>
      <c r="Y13" s="112">
        <v>59</v>
      </c>
      <c r="Z13" s="112">
        <v>96</v>
      </c>
      <c r="AA13" s="269">
        <v>85</v>
      </c>
      <c r="AB13" s="322">
        <v>119</v>
      </c>
      <c r="AC13" s="11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row>
    <row r="14" spans="1:202" ht="12.75">
      <c r="A14" s="41"/>
      <c r="B14" s="10" t="s">
        <v>110</v>
      </c>
      <c r="C14" s="112">
        <v>5346</v>
      </c>
      <c r="D14" s="112">
        <v>5438</v>
      </c>
      <c r="E14" s="112">
        <v>5460</v>
      </c>
      <c r="F14" s="112">
        <v>5542</v>
      </c>
      <c r="G14" s="112">
        <v>5621</v>
      </c>
      <c r="H14" s="112">
        <v>5760</v>
      </c>
      <c r="I14" s="112">
        <v>5906</v>
      </c>
      <c r="J14" s="310">
        <v>6057</v>
      </c>
      <c r="L14" s="23">
        <v>0.695</v>
      </c>
      <c r="M14" s="23">
        <v>0.687</v>
      </c>
      <c r="N14" s="23">
        <v>0.683</v>
      </c>
      <c r="O14" s="23">
        <v>0.683</v>
      </c>
      <c r="P14" s="23">
        <v>0.684</v>
      </c>
      <c r="Q14" s="23">
        <v>0.691</v>
      </c>
      <c r="R14" s="192">
        <v>0.702</v>
      </c>
      <c r="S14" s="250">
        <v>0.7154204093789511</v>
      </c>
      <c r="T14" s="10"/>
      <c r="U14" s="112">
        <v>109</v>
      </c>
      <c r="V14" s="112">
        <v>92</v>
      </c>
      <c r="W14" s="112">
        <v>22</v>
      </c>
      <c r="X14" s="112">
        <v>82</v>
      </c>
      <c r="Y14" s="112">
        <v>79</v>
      </c>
      <c r="Z14" s="112">
        <v>139</v>
      </c>
      <c r="AA14" s="269">
        <v>146</v>
      </c>
      <c r="AB14" s="322">
        <v>151</v>
      </c>
      <c r="AC14" s="112"/>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row>
    <row r="15" spans="1:202" ht="12.75">
      <c r="A15" s="41"/>
      <c r="B15" s="10" t="s">
        <v>200</v>
      </c>
      <c r="C15" s="112">
        <v>2217</v>
      </c>
      <c r="D15" s="112">
        <v>2265</v>
      </c>
      <c r="E15" s="112">
        <v>2264</v>
      </c>
      <c r="F15" s="112">
        <v>2247</v>
      </c>
      <c r="G15" s="112">
        <v>2231</v>
      </c>
      <c r="H15" s="112">
        <v>2231</v>
      </c>
      <c r="I15" s="112">
        <v>2175</v>
      </c>
      <c r="J15" s="310">
        <v>2129</v>
      </c>
      <c r="L15" s="23">
        <v>0.726</v>
      </c>
      <c r="M15" s="23">
        <v>0.724</v>
      </c>
      <c r="N15" s="23">
        <v>0.714</v>
      </c>
      <c r="O15" s="23">
        <v>0.707</v>
      </c>
      <c r="P15" s="23">
        <v>0.702</v>
      </c>
      <c r="Q15" s="23">
        <v>0.701</v>
      </c>
      <c r="R15" s="192">
        <v>0.7</v>
      </c>
      <c r="S15" s="250">
        <v>0.6953671587287722</v>
      </c>
      <c r="T15" s="10"/>
      <c r="U15" s="112">
        <v>30</v>
      </c>
      <c r="V15" s="112">
        <v>48</v>
      </c>
      <c r="W15" s="112">
        <v>-1</v>
      </c>
      <c r="X15" s="112">
        <v>-17</v>
      </c>
      <c r="Y15" s="112">
        <v>-16</v>
      </c>
      <c r="Z15" s="112">
        <v>0</v>
      </c>
      <c r="AA15" s="269">
        <v>-56</v>
      </c>
      <c r="AB15" s="322">
        <v>-46</v>
      </c>
      <c r="AC15" s="112"/>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row>
    <row r="16" spans="1:202" ht="12.75">
      <c r="A16" s="41"/>
      <c r="B16" s="10" t="s">
        <v>201</v>
      </c>
      <c r="C16" s="112">
        <v>197</v>
      </c>
      <c r="D16" s="112">
        <v>201</v>
      </c>
      <c r="E16" s="112">
        <v>200</v>
      </c>
      <c r="F16" s="112">
        <v>199</v>
      </c>
      <c r="G16" s="112">
        <v>206</v>
      </c>
      <c r="H16" s="112">
        <v>207</v>
      </c>
      <c r="I16" s="112">
        <v>201</v>
      </c>
      <c r="J16" s="310">
        <v>210</v>
      </c>
      <c r="L16" s="23">
        <v>0.899</v>
      </c>
      <c r="M16" s="23">
        <v>0.895</v>
      </c>
      <c r="N16" s="23">
        <v>0.891</v>
      </c>
      <c r="O16" s="23">
        <v>0.875</v>
      </c>
      <c r="P16" s="23">
        <v>0.864</v>
      </c>
      <c r="Q16" s="23">
        <v>0.855</v>
      </c>
      <c r="R16" s="192">
        <v>0.849</v>
      </c>
      <c r="S16" s="250">
        <v>0.8529038960048796</v>
      </c>
      <c r="T16" s="10"/>
      <c r="U16" s="112">
        <v>9</v>
      </c>
      <c r="V16" s="112">
        <v>4</v>
      </c>
      <c r="W16" s="112">
        <v>-1</v>
      </c>
      <c r="X16" s="112">
        <v>-1</v>
      </c>
      <c r="Y16" s="112">
        <v>7</v>
      </c>
      <c r="Z16" s="112">
        <v>1</v>
      </c>
      <c r="AA16" s="269">
        <v>-6</v>
      </c>
      <c r="AB16" s="322">
        <v>9</v>
      </c>
      <c r="AC16" s="112"/>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row>
    <row r="17" spans="1:202" ht="12.75">
      <c r="A17" s="41"/>
      <c r="B17" s="10" t="s">
        <v>111</v>
      </c>
      <c r="C17" s="112">
        <v>3892</v>
      </c>
      <c r="D17" s="112">
        <v>4038</v>
      </c>
      <c r="E17" s="112">
        <v>4252</v>
      </c>
      <c r="F17" s="112">
        <v>4360</v>
      </c>
      <c r="G17" s="112">
        <v>4463</v>
      </c>
      <c r="H17" s="112">
        <v>4543</v>
      </c>
      <c r="I17" s="112">
        <v>4618</v>
      </c>
      <c r="J17" s="310">
        <v>4649</v>
      </c>
      <c r="L17" s="23">
        <v>0.428</v>
      </c>
      <c r="M17" s="23">
        <v>0.43</v>
      </c>
      <c r="N17" s="23">
        <v>0.428</v>
      </c>
      <c r="O17" s="23">
        <v>0.427</v>
      </c>
      <c r="P17" s="23">
        <v>0.423</v>
      </c>
      <c r="Q17" s="23">
        <v>0.415</v>
      </c>
      <c r="R17" s="192">
        <v>0.41</v>
      </c>
      <c r="S17" s="250">
        <v>0.4071590989510075</v>
      </c>
      <c r="T17" s="10"/>
      <c r="U17" s="112">
        <v>-23</v>
      </c>
      <c r="V17" s="112">
        <v>146</v>
      </c>
      <c r="W17" s="112">
        <v>214</v>
      </c>
      <c r="X17" s="112">
        <v>108</v>
      </c>
      <c r="Y17" s="112">
        <v>103</v>
      </c>
      <c r="Z17" s="112">
        <v>80</v>
      </c>
      <c r="AA17" s="269">
        <v>75</v>
      </c>
      <c r="AB17" s="322">
        <v>31</v>
      </c>
      <c r="AC17" s="112"/>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c r="FE17" s="245"/>
      <c r="FF17" s="245"/>
      <c r="FG17" s="245"/>
      <c r="FH17" s="245"/>
      <c r="FI17" s="245"/>
      <c r="FJ17" s="245"/>
      <c r="FK17" s="245"/>
      <c r="FL17" s="245"/>
      <c r="FM17" s="245"/>
      <c r="FN17" s="245"/>
      <c r="FO17" s="245"/>
      <c r="FP17" s="245"/>
      <c r="FQ17" s="245"/>
      <c r="FR17" s="245"/>
      <c r="FS17" s="245"/>
      <c r="FT17" s="245"/>
      <c r="FU17" s="245"/>
      <c r="FV17" s="245"/>
      <c r="FW17" s="245"/>
      <c r="FX17" s="245"/>
      <c r="FY17" s="245"/>
      <c r="FZ17" s="245"/>
      <c r="GA17" s="245"/>
      <c r="GB17" s="245"/>
      <c r="GC17" s="245"/>
      <c r="GD17" s="245"/>
      <c r="GE17" s="245"/>
      <c r="GF17" s="245"/>
      <c r="GG17" s="245"/>
      <c r="GH17" s="245"/>
      <c r="GI17" s="245"/>
      <c r="GJ17" s="245"/>
      <c r="GK17" s="245"/>
      <c r="GL17" s="245"/>
      <c r="GM17" s="245"/>
      <c r="GN17" s="245"/>
      <c r="GO17" s="245"/>
      <c r="GP17" s="245"/>
      <c r="GQ17" s="245"/>
      <c r="GR17" s="245"/>
      <c r="GS17" s="245"/>
      <c r="GT17" s="245"/>
    </row>
    <row r="18" spans="1:202" ht="12.75">
      <c r="A18" s="41"/>
      <c r="B18" s="10" t="s">
        <v>112</v>
      </c>
      <c r="C18" s="113">
        <v>4957</v>
      </c>
      <c r="D18" s="113">
        <v>5111</v>
      </c>
      <c r="E18" s="113">
        <v>5209</v>
      </c>
      <c r="F18" s="113">
        <v>5267</v>
      </c>
      <c r="G18" s="113">
        <v>5450</v>
      </c>
      <c r="H18" s="113">
        <v>5584</v>
      </c>
      <c r="I18" s="113">
        <v>5639</v>
      </c>
      <c r="J18" s="311">
        <v>5672</v>
      </c>
      <c r="L18" s="221">
        <v>0.79</v>
      </c>
      <c r="M18" s="221">
        <v>0.787</v>
      </c>
      <c r="N18" s="221">
        <v>0.783</v>
      </c>
      <c r="O18" s="221">
        <v>0.779</v>
      </c>
      <c r="P18" s="221">
        <v>0.782</v>
      </c>
      <c r="Q18" s="221">
        <v>0.785</v>
      </c>
      <c r="R18" s="267">
        <v>0.787</v>
      </c>
      <c r="S18" s="318">
        <v>0.7901162768149059</v>
      </c>
      <c r="T18" s="10"/>
      <c r="U18" s="113">
        <v>182</v>
      </c>
      <c r="V18" s="113">
        <v>154</v>
      </c>
      <c r="W18" s="113">
        <v>98</v>
      </c>
      <c r="X18" s="113">
        <v>58</v>
      </c>
      <c r="Y18" s="113">
        <v>183</v>
      </c>
      <c r="Z18" s="113">
        <v>134</v>
      </c>
      <c r="AA18" s="273">
        <v>55</v>
      </c>
      <c r="AB18" s="324">
        <v>33</v>
      </c>
      <c r="AC18" s="11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5"/>
      <c r="EH18" s="245"/>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5"/>
      <c r="GI18" s="245"/>
      <c r="GJ18" s="245"/>
      <c r="GK18" s="245"/>
      <c r="GL18" s="245"/>
      <c r="GM18" s="245"/>
      <c r="GN18" s="245"/>
      <c r="GO18" s="245"/>
      <c r="GP18" s="245"/>
      <c r="GQ18" s="245"/>
      <c r="GR18" s="245"/>
      <c r="GS18" s="245"/>
      <c r="GT18" s="245"/>
    </row>
    <row r="19" spans="1:202" ht="12.75">
      <c r="A19" s="41"/>
      <c r="C19" s="112">
        <v>17684</v>
      </c>
      <c r="D19" s="112">
        <v>18180</v>
      </c>
      <c r="E19" s="112">
        <v>18515</v>
      </c>
      <c r="F19" s="112">
        <v>18771</v>
      </c>
      <c r="G19" s="112">
        <v>19186</v>
      </c>
      <c r="H19" s="112">
        <v>19636</v>
      </c>
      <c r="I19" s="112">
        <v>19935</v>
      </c>
      <c r="J19" s="310">
        <v>20232</v>
      </c>
      <c r="L19" s="23">
        <v>0.685</v>
      </c>
      <c r="M19" s="23">
        <v>0.681</v>
      </c>
      <c r="N19" s="23">
        <v>0.674</v>
      </c>
      <c r="O19" s="23">
        <v>0.671</v>
      </c>
      <c r="P19" s="23">
        <v>0.671</v>
      </c>
      <c r="Q19" s="23">
        <v>0.673</v>
      </c>
      <c r="R19" s="192">
        <v>0.676</v>
      </c>
      <c r="S19" s="250">
        <v>0.6814048629330894</v>
      </c>
      <c r="T19" s="10"/>
      <c r="U19" s="112">
        <v>378</v>
      </c>
      <c r="V19" s="112">
        <v>496</v>
      </c>
      <c r="W19" s="112">
        <v>335</v>
      </c>
      <c r="X19" s="112">
        <v>256</v>
      </c>
      <c r="Y19" s="112">
        <v>415</v>
      </c>
      <c r="Z19" s="112">
        <v>450</v>
      </c>
      <c r="AA19" s="269">
        <f>SUM(AA13:AA18)</f>
        <v>299</v>
      </c>
      <c r="AB19" s="322">
        <f>SUM(AB13:AB18)</f>
        <v>297</v>
      </c>
      <c r="AC19" s="11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5"/>
      <c r="CT19" s="245"/>
      <c r="CU19" s="245"/>
      <c r="CV19" s="245"/>
      <c r="CW19" s="245"/>
      <c r="CX19" s="245"/>
      <c r="CY19" s="245"/>
      <c r="CZ19" s="245"/>
      <c r="DA19" s="245"/>
      <c r="DB19" s="245"/>
      <c r="DC19" s="245"/>
      <c r="DD19" s="245"/>
      <c r="DE19" s="245"/>
      <c r="DF19" s="245"/>
      <c r="DG19" s="245"/>
      <c r="DH19" s="245"/>
      <c r="DI19" s="245"/>
      <c r="DJ19" s="245"/>
      <c r="DK19" s="245"/>
      <c r="DL19" s="245"/>
      <c r="DM19" s="245"/>
      <c r="DN19" s="245"/>
      <c r="DO19" s="245"/>
      <c r="DP19" s="245"/>
      <c r="DQ19" s="245"/>
      <c r="DR19" s="245"/>
      <c r="DS19" s="245"/>
      <c r="DT19" s="245"/>
      <c r="DU19" s="245"/>
      <c r="DV19" s="245"/>
      <c r="DW19" s="245"/>
      <c r="DX19" s="245"/>
      <c r="DY19" s="245"/>
      <c r="DZ19" s="245"/>
      <c r="EA19" s="245"/>
      <c r="EB19" s="245"/>
      <c r="EC19" s="245"/>
      <c r="ED19" s="245"/>
      <c r="EE19" s="245"/>
      <c r="EF19" s="245"/>
      <c r="EG19" s="245"/>
      <c r="EH19" s="245"/>
      <c r="EI19" s="245"/>
      <c r="EJ19" s="245"/>
      <c r="EK19" s="245"/>
      <c r="EL19" s="245"/>
      <c r="EM19" s="245"/>
      <c r="EN19" s="245"/>
      <c r="EO19" s="245"/>
      <c r="EP19" s="245"/>
      <c r="EQ19" s="245"/>
      <c r="ER19" s="245"/>
      <c r="ES19" s="245"/>
      <c r="ET19" s="245"/>
      <c r="EU19" s="245"/>
      <c r="EV19" s="245"/>
      <c r="EW19" s="245"/>
      <c r="EX19" s="245"/>
      <c r="EY19" s="245"/>
      <c r="EZ19" s="245"/>
      <c r="FA19" s="245"/>
      <c r="FB19" s="245"/>
      <c r="FC19" s="245"/>
      <c r="FD19" s="245"/>
      <c r="FE19" s="245"/>
      <c r="FF19" s="245"/>
      <c r="FG19" s="245"/>
      <c r="FH19" s="245"/>
      <c r="FI19" s="245"/>
      <c r="FJ19" s="245"/>
      <c r="FK19" s="245"/>
      <c r="FL19" s="245"/>
      <c r="FM19" s="245"/>
      <c r="FN19" s="245"/>
      <c r="FO19" s="245"/>
      <c r="FP19" s="245"/>
      <c r="FQ19" s="245"/>
      <c r="FR19" s="245"/>
      <c r="FS19" s="245"/>
      <c r="FT19" s="245"/>
      <c r="FU19" s="245"/>
      <c r="FV19" s="245"/>
      <c r="FW19" s="245"/>
      <c r="FX19" s="245"/>
      <c r="FY19" s="245"/>
      <c r="FZ19" s="245"/>
      <c r="GA19" s="245"/>
      <c r="GB19" s="245"/>
      <c r="GC19" s="245"/>
      <c r="GD19" s="245"/>
      <c r="GE19" s="245"/>
      <c r="GF19" s="245"/>
      <c r="GG19" s="245"/>
      <c r="GH19" s="245"/>
      <c r="GI19" s="245"/>
      <c r="GJ19" s="245"/>
      <c r="GK19" s="245"/>
      <c r="GL19" s="245"/>
      <c r="GM19" s="245"/>
      <c r="GN19" s="245"/>
      <c r="GO19" s="245"/>
      <c r="GP19" s="245"/>
      <c r="GQ19" s="245"/>
      <c r="GR19" s="245"/>
      <c r="GS19" s="245"/>
      <c r="GT19" s="245"/>
    </row>
    <row r="20" spans="1:202" ht="12.75">
      <c r="A20" s="41"/>
      <c r="C20" s="113"/>
      <c r="D20" s="113"/>
      <c r="E20" s="113"/>
      <c r="F20" s="113"/>
      <c r="G20" s="113"/>
      <c r="H20" s="113"/>
      <c r="I20" s="113"/>
      <c r="J20" s="311"/>
      <c r="L20" s="23"/>
      <c r="M20" s="23"/>
      <c r="N20" s="23"/>
      <c r="O20" s="23"/>
      <c r="P20" s="23"/>
      <c r="Q20" s="23"/>
      <c r="R20" s="192"/>
      <c r="S20" s="23"/>
      <c r="T20" s="10"/>
      <c r="U20" s="253"/>
      <c r="V20" s="253"/>
      <c r="W20" s="253"/>
      <c r="X20" s="253"/>
      <c r="Y20" s="253"/>
      <c r="Z20" s="253"/>
      <c r="AA20" s="274"/>
      <c r="AB20" s="274"/>
      <c r="AC20" s="11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5"/>
      <c r="GE20" s="245"/>
      <c r="GF20" s="245"/>
      <c r="GG20" s="245"/>
      <c r="GH20" s="245"/>
      <c r="GI20" s="245"/>
      <c r="GJ20" s="245"/>
      <c r="GK20" s="245"/>
      <c r="GL20" s="245"/>
      <c r="GM20" s="245"/>
      <c r="GN20" s="245"/>
      <c r="GO20" s="245"/>
      <c r="GP20" s="245"/>
      <c r="GQ20" s="245"/>
      <c r="GR20" s="245"/>
      <c r="GS20" s="245"/>
      <c r="GT20" s="245"/>
    </row>
    <row r="21" spans="1:202" s="41" customFormat="1" ht="12.75">
      <c r="A21" s="41" t="s">
        <v>75</v>
      </c>
      <c r="C21" s="123">
        <v>106064</v>
      </c>
      <c r="D21" s="123">
        <v>109148</v>
      </c>
      <c r="E21" s="123">
        <v>110571</v>
      </c>
      <c r="F21" s="123">
        <v>111842</v>
      </c>
      <c r="G21" s="123">
        <v>113679</v>
      </c>
      <c r="H21" s="123">
        <v>114600</v>
      </c>
      <c r="I21" s="123">
        <v>113946</v>
      </c>
      <c r="J21" s="121">
        <v>113313</v>
      </c>
      <c r="L21" s="314">
        <v>0.658</v>
      </c>
      <c r="M21" s="314">
        <v>0.658</v>
      </c>
      <c r="N21" s="314">
        <v>0.653</v>
      </c>
      <c r="O21" s="314">
        <v>0.649</v>
      </c>
      <c r="P21" s="314">
        <v>0.647</v>
      </c>
      <c r="Q21" s="314">
        <v>0.642</v>
      </c>
      <c r="R21" s="315">
        <v>0.637</v>
      </c>
      <c r="S21" s="122">
        <v>0.6318489300295791</v>
      </c>
      <c r="U21" s="321">
        <v>2551</v>
      </c>
      <c r="V21" s="321">
        <v>3084</v>
      </c>
      <c r="W21" s="321">
        <v>1423</v>
      </c>
      <c r="X21" s="321">
        <v>1271</v>
      </c>
      <c r="Y21" s="321">
        <v>1837</v>
      </c>
      <c r="Z21" s="321">
        <v>921</v>
      </c>
      <c r="AA21" s="279">
        <f>AA10+AA19</f>
        <v>-654</v>
      </c>
      <c r="AB21" s="275">
        <f>AB10+AB19</f>
        <v>-633</v>
      </c>
      <c r="AC21" s="116"/>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5"/>
      <c r="CO21" s="245"/>
      <c r="CP21" s="245"/>
      <c r="CQ21" s="245"/>
      <c r="CR21" s="245"/>
      <c r="CS21" s="245"/>
      <c r="CT21" s="245"/>
      <c r="CU21" s="245"/>
      <c r="CV21" s="245"/>
      <c r="CW21" s="245"/>
      <c r="CX21" s="245"/>
      <c r="CY21" s="245"/>
      <c r="CZ21" s="245"/>
      <c r="DA21" s="245"/>
      <c r="DB21" s="245"/>
      <c r="DC21" s="245"/>
      <c r="DD21" s="245"/>
      <c r="DE21" s="245"/>
      <c r="DF21" s="245"/>
      <c r="DG21" s="245"/>
      <c r="DH21" s="245"/>
      <c r="DI21" s="245"/>
      <c r="DJ21" s="245"/>
      <c r="DK21" s="245"/>
      <c r="DL21" s="245"/>
      <c r="DM21" s="245"/>
      <c r="DN21" s="245"/>
      <c r="DO21" s="245"/>
      <c r="DP21" s="245"/>
      <c r="DQ21" s="245"/>
      <c r="DR21" s="245"/>
      <c r="DS21" s="245"/>
      <c r="DT21" s="245"/>
      <c r="DU21" s="245"/>
      <c r="DV21" s="245"/>
      <c r="DW21" s="245"/>
      <c r="DX21" s="245"/>
      <c r="DY21" s="245"/>
      <c r="DZ21" s="245"/>
      <c r="EA21" s="245"/>
      <c r="EB21" s="245"/>
      <c r="EC21" s="245"/>
      <c r="ED21" s="245"/>
      <c r="EE21" s="245"/>
      <c r="EF21" s="245"/>
      <c r="EG21" s="245"/>
      <c r="EH21" s="245"/>
      <c r="EI21" s="245"/>
      <c r="EJ21" s="245"/>
      <c r="EK21" s="245"/>
      <c r="EL21" s="245"/>
      <c r="EM21" s="245"/>
      <c r="EN21" s="245"/>
      <c r="EO21" s="245"/>
      <c r="EP21" s="245"/>
      <c r="EQ21" s="245"/>
      <c r="ER21" s="245"/>
      <c r="ES21" s="245"/>
      <c r="ET21" s="245"/>
      <c r="EU21" s="245"/>
      <c r="EV21" s="245"/>
      <c r="EW21" s="245"/>
      <c r="EX21" s="245"/>
      <c r="EY21" s="245"/>
      <c r="EZ21" s="245"/>
      <c r="FA21" s="245"/>
      <c r="FB21" s="245"/>
      <c r="FC21" s="245"/>
      <c r="FD21" s="245"/>
      <c r="FE21" s="245"/>
      <c r="FF21" s="245"/>
      <c r="FG21" s="245"/>
      <c r="FH21" s="245"/>
      <c r="FI21" s="245"/>
      <c r="FJ21" s="245"/>
      <c r="FK21" s="245"/>
      <c r="FL21" s="245"/>
      <c r="FM21" s="245"/>
      <c r="FN21" s="245"/>
      <c r="FO21" s="245"/>
      <c r="FP21" s="245"/>
      <c r="FQ21" s="245"/>
      <c r="FR21" s="245"/>
      <c r="FS21" s="245"/>
      <c r="FT21" s="245"/>
      <c r="FU21" s="245"/>
      <c r="FV21" s="245"/>
      <c r="FW21" s="245"/>
      <c r="FX21" s="245"/>
      <c r="FY21" s="245"/>
      <c r="FZ21" s="245"/>
      <c r="GA21" s="245"/>
      <c r="GB21" s="245"/>
      <c r="GC21" s="245"/>
      <c r="GD21" s="245"/>
      <c r="GE21" s="245"/>
      <c r="GF21" s="245"/>
      <c r="GG21" s="245"/>
      <c r="GH21" s="245"/>
      <c r="GI21" s="245"/>
      <c r="GJ21" s="245"/>
      <c r="GK21" s="245"/>
      <c r="GL21" s="245"/>
      <c r="GM21" s="245"/>
      <c r="GN21" s="245"/>
      <c r="GO21" s="245"/>
      <c r="GP21" s="245"/>
      <c r="GQ21" s="245"/>
      <c r="GR21" s="245"/>
      <c r="GS21" s="245"/>
      <c r="GT21" s="245"/>
    </row>
    <row r="22" spans="3:202" s="41" customFormat="1" ht="12.75">
      <c r="C22" s="116"/>
      <c r="D22" s="116"/>
      <c r="E22" s="116"/>
      <c r="F22" s="116"/>
      <c r="G22" s="116"/>
      <c r="H22" s="116"/>
      <c r="I22" s="116"/>
      <c r="J22" s="116"/>
      <c r="L22" s="42"/>
      <c r="M22" s="42"/>
      <c r="N22" s="42"/>
      <c r="O22" s="42"/>
      <c r="P22" s="42"/>
      <c r="Q22" s="42"/>
      <c r="R22" s="168"/>
      <c r="S22" s="168"/>
      <c r="U22" s="254"/>
      <c r="V22" s="254"/>
      <c r="W22" s="254"/>
      <c r="X22" s="254"/>
      <c r="Y22" s="254"/>
      <c r="Z22" s="254"/>
      <c r="AA22" s="276"/>
      <c r="AB22" s="276"/>
      <c r="AC22" s="116"/>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245"/>
      <c r="CO22" s="245"/>
      <c r="CP22" s="245"/>
      <c r="CQ22" s="245"/>
      <c r="CR22" s="245"/>
      <c r="CS22" s="245"/>
      <c r="CT22" s="245"/>
      <c r="CU22" s="245"/>
      <c r="CV22" s="245"/>
      <c r="CW22" s="245"/>
      <c r="CX22" s="245"/>
      <c r="CY22" s="245"/>
      <c r="CZ22" s="245"/>
      <c r="DA22" s="245"/>
      <c r="DB22" s="245"/>
      <c r="DC22" s="245"/>
      <c r="DD22" s="245"/>
      <c r="DE22" s="245"/>
      <c r="DF22" s="245"/>
      <c r="DG22" s="245"/>
      <c r="DH22" s="245"/>
      <c r="DI22" s="245"/>
      <c r="DJ22" s="245"/>
      <c r="DK22" s="245"/>
      <c r="DL22" s="245"/>
      <c r="DM22" s="245"/>
      <c r="DN22" s="245"/>
      <c r="DO22" s="245"/>
      <c r="DP22" s="245"/>
      <c r="DQ22" s="245"/>
      <c r="DR22" s="245"/>
      <c r="DS22" s="245"/>
      <c r="DT22" s="245"/>
      <c r="DU22" s="245"/>
      <c r="DV22" s="245"/>
      <c r="DW22" s="245"/>
      <c r="DX22" s="245"/>
      <c r="DY22" s="245"/>
      <c r="DZ22" s="245"/>
      <c r="EA22" s="245"/>
      <c r="EB22" s="245"/>
      <c r="EC22" s="245"/>
      <c r="ED22" s="245"/>
      <c r="EE22" s="245"/>
      <c r="EF22" s="245"/>
      <c r="EG22" s="245"/>
      <c r="EH22" s="245"/>
      <c r="EI22" s="245"/>
      <c r="EJ22" s="245"/>
      <c r="EK22" s="245"/>
      <c r="EL22" s="245"/>
      <c r="EM22" s="245"/>
      <c r="EN22" s="245"/>
      <c r="EO22" s="245"/>
      <c r="EP22" s="245"/>
      <c r="EQ22" s="245"/>
      <c r="ER22" s="245"/>
      <c r="ES22" s="245"/>
      <c r="ET22" s="245"/>
      <c r="EU22" s="245"/>
      <c r="EV22" s="245"/>
      <c r="EW22" s="245"/>
      <c r="EX22" s="245"/>
      <c r="EY22" s="245"/>
      <c r="EZ22" s="245"/>
      <c r="FA22" s="245"/>
      <c r="FB22" s="245"/>
      <c r="FC22" s="245"/>
      <c r="FD22" s="245"/>
      <c r="FE22" s="245"/>
      <c r="FF22" s="245"/>
      <c r="FG22" s="245"/>
      <c r="FH22" s="245"/>
      <c r="FI22" s="245"/>
      <c r="FJ22" s="245"/>
      <c r="FK22" s="245"/>
      <c r="FL22" s="245"/>
      <c r="FM22" s="245"/>
      <c r="FN22" s="245"/>
      <c r="FO22" s="245"/>
      <c r="FP22" s="245"/>
      <c r="FQ22" s="245"/>
      <c r="FR22" s="245"/>
      <c r="FS22" s="245"/>
      <c r="FT22" s="245"/>
      <c r="FU22" s="245"/>
      <c r="FV22" s="245"/>
      <c r="FW22" s="245"/>
      <c r="FX22" s="245"/>
      <c r="FY22" s="245"/>
      <c r="FZ22" s="245"/>
      <c r="GA22" s="245"/>
      <c r="GB22" s="245"/>
      <c r="GC22" s="245"/>
      <c r="GD22" s="245"/>
      <c r="GE22" s="245"/>
      <c r="GF22" s="245"/>
      <c r="GG22" s="245"/>
      <c r="GH22" s="245"/>
      <c r="GI22" s="245"/>
      <c r="GJ22" s="245"/>
      <c r="GK22" s="245"/>
      <c r="GL22" s="245"/>
      <c r="GM22" s="245"/>
      <c r="GN22" s="245"/>
      <c r="GO22" s="245"/>
      <c r="GP22" s="245"/>
      <c r="GQ22" s="245"/>
      <c r="GR22" s="245"/>
      <c r="GS22" s="245"/>
      <c r="GT22" s="245"/>
    </row>
    <row r="23" spans="1:202" ht="12.75">
      <c r="A23" s="41"/>
      <c r="C23" s="112"/>
      <c r="D23" s="112"/>
      <c r="E23" s="112"/>
      <c r="F23" s="112"/>
      <c r="G23" s="112"/>
      <c r="H23" s="112"/>
      <c r="I23" s="112"/>
      <c r="J23" s="310"/>
      <c r="L23" s="23"/>
      <c r="M23" s="23"/>
      <c r="N23" s="23"/>
      <c r="O23" s="23"/>
      <c r="P23" s="23"/>
      <c r="Q23" s="23"/>
      <c r="R23" s="192"/>
      <c r="S23" s="192"/>
      <c r="T23" s="10"/>
      <c r="U23" s="252"/>
      <c r="V23" s="252"/>
      <c r="W23" s="252"/>
      <c r="X23" s="252"/>
      <c r="Y23" s="252"/>
      <c r="Z23" s="252"/>
      <c r="AA23" s="277"/>
      <c r="AB23" s="277"/>
      <c r="AC23" s="11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c r="CP23" s="245"/>
      <c r="CQ23" s="245"/>
      <c r="CR23" s="245"/>
      <c r="CS23" s="245"/>
      <c r="CT23" s="245"/>
      <c r="CU23" s="245"/>
      <c r="CV23" s="245"/>
      <c r="CW23" s="245"/>
      <c r="CX23" s="245"/>
      <c r="CY23" s="245"/>
      <c r="CZ23" s="245"/>
      <c r="DA23" s="245"/>
      <c r="DB23" s="245"/>
      <c r="DC23" s="245"/>
      <c r="DD23" s="245"/>
      <c r="DE23" s="245"/>
      <c r="DF23" s="245"/>
      <c r="DG23" s="245"/>
      <c r="DH23" s="245"/>
      <c r="DI23" s="245"/>
      <c r="DJ23" s="245"/>
      <c r="DK23" s="245"/>
      <c r="DL23" s="245"/>
      <c r="DM23" s="245"/>
      <c r="DN23" s="245"/>
      <c r="DO23" s="245"/>
      <c r="DP23" s="245"/>
      <c r="DQ23" s="245"/>
      <c r="DR23" s="245"/>
      <c r="DS23" s="245"/>
      <c r="DT23" s="245"/>
      <c r="DU23" s="245"/>
      <c r="DV23" s="245"/>
      <c r="DW23" s="245"/>
      <c r="DX23" s="245"/>
      <c r="DY23" s="245"/>
      <c r="DZ23" s="245"/>
      <c r="EA23" s="245"/>
      <c r="EB23" s="245"/>
      <c r="EC23" s="245"/>
      <c r="ED23" s="245"/>
      <c r="EE23" s="245"/>
      <c r="EF23" s="245"/>
      <c r="EG23" s="245"/>
      <c r="EH23" s="245"/>
      <c r="EI23" s="245"/>
      <c r="EJ23" s="245"/>
      <c r="EK23" s="245"/>
      <c r="EL23" s="245"/>
      <c r="EM23" s="245"/>
      <c r="EN23" s="245"/>
      <c r="EO23" s="245"/>
      <c r="EP23" s="245"/>
      <c r="EQ23" s="245"/>
      <c r="ER23" s="245"/>
      <c r="ES23" s="245"/>
      <c r="ET23" s="245"/>
      <c r="EU23" s="245"/>
      <c r="EV23" s="245"/>
      <c r="EW23" s="245"/>
      <c r="EX23" s="245"/>
      <c r="EY23" s="245"/>
      <c r="EZ23" s="245"/>
      <c r="FA23" s="245"/>
      <c r="FB23" s="245"/>
      <c r="FC23" s="245"/>
      <c r="FD23" s="245"/>
      <c r="FE23" s="245"/>
      <c r="FF23" s="245"/>
      <c r="FG23" s="245"/>
      <c r="FH23" s="245"/>
      <c r="FI23" s="245"/>
      <c r="FJ23" s="245"/>
      <c r="FK23" s="245"/>
      <c r="FL23" s="245"/>
      <c r="FM23" s="245"/>
      <c r="FN23" s="245"/>
      <c r="FO23" s="245"/>
      <c r="FP23" s="245"/>
      <c r="FQ23" s="245"/>
      <c r="FR23" s="245"/>
      <c r="FS23" s="245"/>
      <c r="FT23" s="245"/>
      <c r="FU23" s="245"/>
      <c r="FV23" s="245"/>
      <c r="FW23" s="245"/>
      <c r="FX23" s="245"/>
      <c r="FY23" s="245"/>
      <c r="FZ23" s="245"/>
      <c r="GA23" s="245"/>
      <c r="GB23" s="245"/>
      <c r="GC23" s="245"/>
      <c r="GD23" s="245"/>
      <c r="GE23" s="245"/>
      <c r="GF23" s="245"/>
      <c r="GG23" s="245"/>
      <c r="GH23" s="245"/>
      <c r="GI23" s="245"/>
      <c r="GJ23" s="245"/>
      <c r="GK23" s="245"/>
      <c r="GL23" s="245"/>
      <c r="GM23" s="245"/>
      <c r="GN23" s="245"/>
      <c r="GO23" s="245"/>
      <c r="GP23" s="245"/>
      <c r="GQ23" s="245"/>
      <c r="GR23" s="245"/>
      <c r="GS23" s="245"/>
      <c r="GT23" s="245"/>
    </row>
    <row r="24" spans="1:202" ht="12.75">
      <c r="A24" s="41" t="s">
        <v>214</v>
      </c>
      <c r="C24" s="112"/>
      <c r="D24" s="112"/>
      <c r="E24" s="112"/>
      <c r="F24" s="112"/>
      <c r="G24" s="112"/>
      <c r="H24" s="112"/>
      <c r="I24" s="112"/>
      <c r="J24" s="310"/>
      <c r="L24" s="23"/>
      <c r="M24" s="23"/>
      <c r="N24" s="23"/>
      <c r="O24" s="23"/>
      <c r="P24" s="23"/>
      <c r="Q24" s="23"/>
      <c r="R24" s="192"/>
      <c r="S24" s="192"/>
      <c r="T24" s="10"/>
      <c r="U24" s="252"/>
      <c r="V24" s="252"/>
      <c r="W24" s="252"/>
      <c r="X24" s="252"/>
      <c r="Y24" s="252"/>
      <c r="Z24" s="252"/>
      <c r="AA24" s="277"/>
      <c r="AB24" s="277"/>
      <c r="AC24" s="11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45"/>
      <c r="CO24" s="245"/>
      <c r="CP24" s="245"/>
      <c r="CQ24" s="245"/>
      <c r="CR24" s="245"/>
      <c r="CS24" s="245"/>
      <c r="CT24" s="245"/>
      <c r="CU24" s="245"/>
      <c r="CV24" s="245"/>
      <c r="CW24" s="245"/>
      <c r="CX24" s="245"/>
      <c r="CY24" s="245"/>
      <c r="CZ24" s="245"/>
      <c r="DA24" s="245"/>
      <c r="DB24" s="245"/>
      <c r="DC24" s="245"/>
      <c r="DD24" s="245"/>
      <c r="DE24" s="245"/>
      <c r="DF24" s="245"/>
      <c r="DG24" s="245"/>
      <c r="DH24" s="245"/>
      <c r="DI24" s="245"/>
      <c r="DJ24" s="245"/>
      <c r="DK24" s="245"/>
      <c r="DL24" s="245"/>
      <c r="DM24" s="245"/>
      <c r="DN24" s="245"/>
      <c r="DO24" s="245"/>
      <c r="DP24" s="245"/>
      <c r="DQ24" s="245"/>
      <c r="DR24" s="245"/>
      <c r="DS24" s="245"/>
      <c r="DT24" s="245"/>
      <c r="DU24" s="245"/>
      <c r="DV24" s="245"/>
      <c r="DW24" s="245"/>
      <c r="DX24" s="245"/>
      <c r="DY24" s="245"/>
      <c r="DZ24" s="245"/>
      <c r="EA24" s="245"/>
      <c r="EB24" s="245"/>
      <c r="EC24" s="245"/>
      <c r="ED24" s="245"/>
      <c r="EE24" s="245"/>
      <c r="EF24" s="245"/>
      <c r="EG24" s="245"/>
      <c r="EH24" s="245"/>
      <c r="EI24" s="245"/>
      <c r="EJ24" s="245"/>
      <c r="EK24" s="245"/>
      <c r="EL24" s="245"/>
      <c r="EM24" s="245"/>
      <c r="EN24" s="245"/>
      <c r="EO24" s="245"/>
      <c r="EP24" s="245"/>
      <c r="EQ24" s="245"/>
      <c r="ER24" s="245"/>
      <c r="ES24" s="245"/>
      <c r="ET24" s="245"/>
      <c r="EU24" s="245"/>
      <c r="EV24" s="245"/>
      <c r="EW24" s="245"/>
      <c r="EX24" s="245"/>
      <c r="EY24" s="245"/>
      <c r="EZ24" s="245"/>
      <c r="FA24" s="245"/>
      <c r="FB24" s="245"/>
      <c r="FC24" s="245"/>
      <c r="FD24" s="245"/>
      <c r="FE24" s="245"/>
      <c r="FF24" s="245"/>
      <c r="FG24" s="245"/>
      <c r="FH24" s="245"/>
      <c r="FI24" s="245"/>
      <c r="FJ24" s="245"/>
      <c r="FK24" s="245"/>
      <c r="FL24" s="245"/>
      <c r="FM24" s="245"/>
      <c r="FN24" s="245"/>
      <c r="FO24" s="245"/>
      <c r="FP24" s="245"/>
      <c r="FQ24" s="245"/>
      <c r="FR24" s="245"/>
      <c r="FS24" s="245"/>
      <c r="FT24" s="245"/>
      <c r="FU24" s="245"/>
      <c r="FV24" s="245"/>
      <c r="FW24" s="245"/>
      <c r="FX24" s="245"/>
      <c r="FY24" s="245"/>
      <c r="FZ24" s="245"/>
      <c r="GA24" s="245"/>
      <c r="GB24" s="245"/>
      <c r="GC24" s="245"/>
      <c r="GD24" s="245"/>
      <c r="GE24" s="245"/>
      <c r="GF24" s="245"/>
      <c r="GG24" s="245"/>
      <c r="GH24" s="245"/>
      <c r="GI24" s="245"/>
      <c r="GJ24" s="245"/>
      <c r="GK24" s="245"/>
      <c r="GL24" s="245"/>
      <c r="GM24" s="245"/>
      <c r="GN24" s="245"/>
      <c r="GO24" s="245"/>
      <c r="GP24" s="245"/>
      <c r="GQ24" s="245"/>
      <c r="GR24" s="245"/>
      <c r="GS24" s="245"/>
      <c r="GT24" s="245"/>
    </row>
    <row r="25" spans="1:202" ht="12.75">
      <c r="A25" s="41"/>
      <c r="B25" s="10" t="s">
        <v>258</v>
      </c>
      <c r="C25" s="112">
        <v>15783</v>
      </c>
      <c r="D25" s="112">
        <v>16521</v>
      </c>
      <c r="E25" s="112">
        <v>16998</v>
      </c>
      <c r="F25" s="112">
        <v>17281</v>
      </c>
      <c r="G25" s="112">
        <v>17844</v>
      </c>
      <c r="H25" s="112">
        <v>18885</v>
      </c>
      <c r="I25" s="112">
        <v>19807</v>
      </c>
      <c r="J25" s="310">
        <v>41306</v>
      </c>
      <c r="L25" s="23">
        <v>0.885</v>
      </c>
      <c r="M25" s="23">
        <v>0.888</v>
      </c>
      <c r="N25" s="23">
        <v>0.888</v>
      </c>
      <c r="O25" s="23">
        <v>0.886</v>
      </c>
      <c r="P25" s="23">
        <v>0.886</v>
      </c>
      <c r="Q25" s="23">
        <v>0.887</v>
      </c>
      <c r="R25" s="192">
        <v>0.89</v>
      </c>
      <c r="S25" s="250">
        <v>0.8921350473336563</v>
      </c>
      <c r="T25" s="10"/>
      <c r="U25" s="112">
        <v>1026</v>
      </c>
      <c r="V25" s="112">
        <v>738</v>
      </c>
      <c r="W25" s="112">
        <v>477</v>
      </c>
      <c r="X25" s="112">
        <v>283</v>
      </c>
      <c r="Y25" s="112">
        <v>563</v>
      </c>
      <c r="Z25" s="112">
        <v>1041</v>
      </c>
      <c r="AA25" s="269">
        <v>922</v>
      </c>
      <c r="AB25" s="322">
        <v>1306</v>
      </c>
      <c r="AC25" s="11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c r="DN25" s="245"/>
      <c r="DO25" s="245"/>
      <c r="DP25" s="245"/>
      <c r="DQ25" s="245"/>
      <c r="DR25" s="245"/>
      <c r="DS25" s="245"/>
      <c r="DT25" s="245"/>
      <c r="DU25" s="245"/>
      <c r="DV25" s="245"/>
      <c r="DW25" s="245"/>
      <c r="DX25" s="245"/>
      <c r="DY25" s="245"/>
      <c r="DZ25" s="245"/>
      <c r="EA25" s="245"/>
      <c r="EB25" s="245"/>
      <c r="EC25" s="245"/>
      <c r="ED25" s="245"/>
      <c r="EE25" s="245"/>
      <c r="EF25" s="245"/>
      <c r="EG25" s="245"/>
      <c r="EH25" s="245"/>
      <c r="EI25" s="245"/>
      <c r="EJ25" s="245"/>
      <c r="EK25" s="245"/>
      <c r="EL25" s="245"/>
      <c r="EM25" s="245"/>
      <c r="EN25" s="245"/>
      <c r="EO25" s="245"/>
      <c r="EP25" s="245"/>
      <c r="EQ25" s="245"/>
      <c r="ER25" s="245"/>
      <c r="ES25" s="245"/>
      <c r="ET25" s="245"/>
      <c r="EU25" s="245"/>
      <c r="EV25" s="245"/>
      <c r="EW25" s="245"/>
      <c r="EX25" s="245"/>
      <c r="EY25" s="245"/>
      <c r="EZ25" s="245"/>
      <c r="FA25" s="245"/>
      <c r="FB25" s="245"/>
      <c r="FC25" s="245"/>
      <c r="FD25" s="245"/>
      <c r="FE25" s="245"/>
      <c r="FF25" s="245"/>
      <c r="FG25" s="245"/>
      <c r="FH25" s="245"/>
      <c r="FI25" s="245"/>
      <c r="FJ25" s="245"/>
      <c r="FK25" s="245"/>
      <c r="FL25" s="245"/>
      <c r="FM25" s="245"/>
      <c r="FN25" s="245"/>
      <c r="FO25" s="245"/>
      <c r="FP25" s="245"/>
      <c r="FQ25" s="245"/>
      <c r="FR25" s="245"/>
      <c r="FS25" s="245"/>
      <c r="FT25" s="245"/>
      <c r="FU25" s="245"/>
      <c r="FV25" s="245"/>
      <c r="FW25" s="245"/>
      <c r="FX25" s="245"/>
      <c r="FY25" s="245"/>
      <c r="FZ25" s="245"/>
      <c r="GA25" s="245"/>
      <c r="GB25" s="245"/>
      <c r="GC25" s="245"/>
      <c r="GD25" s="245"/>
      <c r="GE25" s="245"/>
      <c r="GF25" s="245"/>
      <c r="GG25" s="245"/>
      <c r="GH25" s="245"/>
      <c r="GI25" s="245"/>
      <c r="GJ25" s="245"/>
      <c r="GK25" s="245"/>
      <c r="GL25" s="245"/>
      <c r="GM25" s="245"/>
      <c r="GN25" s="245"/>
      <c r="GO25" s="245"/>
      <c r="GP25" s="245"/>
      <c r="GQ25" s="245"/>
      <c r="GR25" s="245"/>
      <c r="GS25" s="245"/>
      <c r="GT25" s="245"/>
    </row>
    <row r="26" spans="1:202" ht="12.75">
      <c r="A26" s="41"/>
      <c r="B26" s="10" t="s">
        <v>202</v>
      </c>
      <c r="C26" s="112">
        <v>2582</v>
      </c>
      <c r="D26" s="112">
        <v>2658</v>
      </c>
      <c r="E26" s="112">
        <v>2698</v>
      </c>
      <c r="F26" s="112">
        <v>2751</v>
      </c>
      <c r="G26" s="112">
        <v>2828</v>
      </c>
      <c r="H26" s="112">
        <v>2892</v>
      </c>
      <c r="I26" s="112">
        <v>2909</v>
      </c>
      <c r="J26" s="310">
        <v>2935</v>
      </c>
      <c r="L26" s="23">
        <v>0.479</v>
      </c>
      <c r="M26" s="23">
        <v>0.482</v>
      </c>
      <c r="N26" s="23">
        <v>0.481</v>
      </c>
      <c r="O26" s="23">
        <v>0.482</v>
      </c>
      <c r="P26" s="23">
        <v>0.488</v>
      </c>
      <c r="Q26" s="23">
        <v>0.49</v>
      </c>
      <c r="R26" s="192">
        <v>0.489</v>
      </c>
      <c r="S26" s="250">
        <v>0.48510412375103806</v>
      </c>
      <c r="T26" s="10"/>
      <c r="U26" s="112">
        <v>57</v>
      </c>
      <c r="V26" s="112">
        <v>76</v>
      </c>
      <c r="W26" s="112">
        <v>40</v>
      </c>
      <c r="X26" s="112">
        <v>53</v>
      </c>
      <c r="Y26" s="112">
        <v>77</v>
      </c>
      <c r="Z26" s="112">
        <v>64</v>
      </c>
      <c r="AA26" s="269">
        <v>17</v>
      </c>
      <c r="AB26" s="322">
        <v>26</v>
      </c>
      <c r="AC26" s="11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245"/>
      <c r="CH26" s="245"/>
      <c r="CI26" s="245"/>
      <c r="CJ26" s="245"/>
      <c r="CK26" s="245"/>
      <c r="CL26" s="245"/>
      <c r="CM26" s="245"/>
      <c r="CN26" s="245"/>
      <c r="CO26" s="245"/>
      <c r="CP26" s="245"/>
      <c r="CQ26" s="245"/>
      <c r="CR26" s="245"/>
      <c r="CS26" s="245"/>
      <c r="CT26" s="245"/>
      <c r="CU26" s="245"/>
      <c r="CV26" s="245"/>
      <c r="CW26" s="245"/>
      <c r="CX26" s="245"/>
      <c r="CY26" s="245"/>
      <c r="CZ26" s="245"/>
      <c r="DA26" s="245"/>
      <c r="DB26" s="245"/>
      <c r="DC26" s="245"/>
      <c r="DD26" s="245"/>
      <c r="DE26" s="245"/>
      <c r="DF26" s="245"/>
      <c r="DG26" s="245"/>
      <c r="DH26" s="245"/>
      <c r="DI26" s="245"/>
      <c r="DJ26" s="245"/>
      <c r="DK26" s="245"/>
      <c r="DL26" s="245"/>
      <c r="DM26" s="245"/>
      <c r="DN26" s="245"/>
      <c r="DO26" s="245"/>
      <c r="DP26" s="245"/>
      <c r="DQ26" s="245"/>
      <c r="DR26" s="245"/>
      <c r="DS26" s="245"/>
      <c r="DT26" s="245"/>
      <c r="DU26" s="245"/>
      <c r="DV26" s="245"/>
      <c r="DW26" s="245"/>
      <c r="DX26" s="245"/>
      <c r="DY26" s="245"/>
      <c r="DZ26" s="245"/>
      <c r="EA26" s="245"/>
      <c r="EB26" s="245"/>
      <c r="EC26" s="245"/>
      <c r="ED26" s="245"/>
      <c r="EE26" s="245"/>
      <c r="EF26" s="245"/>
      <c r="EG26" s="245"/>
      <c r="EH26" s="245"/>
      <c r="EI26" s="245"/>
      <c r="EJ26" s="245"/>
      <c r="EK26" s="245"/>
      <c r="EL26" s="245"/>
      <c r="EM26" s="245"/>
      <c r="EN26" s="245"/>
      <c r="EO26" s="245"/>
      <c r="EP26" s="245"/>
      <c r="EQ26" s="245"/>
      <c r="ER26" s="245"/>
      <c r="ES26" s="245"/>
      <c r="ET26" s="245"/>
      <c r="EU26" s="245"/>
      <c r="EV26" s="245"/>
      <c r="EW26" s="245"/>
      <c r="EX26" s="245"/>
      <c r="EY26" s="245"/>
      <c r="EZ26" s="245"/>
      <c r="FA26" s="245"/>
      <c r="FB26" s="245"/>
      <c r="FC26" s="245"/>
      <c r="FD26" s="245"/>
      <c r="FE26" s="245"/>
      <c r="FF26" s="245"/>
      <c r="FG26" s="245"/>
      <c r="FH26" s="245"/>
      <c r="FI26" s="245"/>
      <c r="FJ26" s="245"/>
      <c r="FK26" s="245"/>
      <c r="FL26" s="245"/>
      <c r="FM26" s="245"/>
      <c r="FN26" s="245"/>
      <c r="FO26" s="245"/>
      <c r="FP26" s="245"/>
      <c r="FQ26" s="245"/>
      <c r="FR26" s="245"/>
      <c r="FS26" s="245"/>
      <c r="FT26" s="245"/>
      <c r="FU26" s="245"/>
      <c r="FV26" s="245"/>
      <c r="FW26" s="245"/>
      <c r="FX26" s="245"/>
      <c r="FY26" s="245"/>
      <c r="FZ26" s="245"/>
      <c r="GA26" s="245"/>
      <c r="GB26" s="245"/>
      <c r="GC26" s="245"/>
      <c r="GD26" s="245"/>
      <c r="GE26" s="245"/>
      <c r="GF26" s="245"/>
      <c r="GG26" s="245"/>
      <c r="GH26" s="245"/>
      <c r="GI26" s="245"/>
      <c r="GJ26" s="245"/>
      <c r="GK26" s="245"/>
      <c r="GL26" s="245"/>
      <c r="GM26" s="245"/>
      <c r="GN26" s="245"/>
      <c r="GO26" s="245"/>
      <c r="GP26" s="245"/>
      <c r="GQ26" s="245"/>
      <c r="GR26" s="245"/>
      <c r="GS26" s="245"/>
      <c r="GT26" s="245"/>
    </row>
    <row r="27" spans="1:202" ht="12.75">
      <c r="A27" s="41"/>
      <c r="B27" s="10" t="s">
        <v>259</v>
      </c>
      <c r="C27" s="112">
        <v>0</v>
      </c>
      <c r="D27" s="112">
        <v>0</v>
      </c>
      <c r="E27" s="112">
        <v>0</v>
      </c>
      <c r="F27" s="112">
        <v>0</v>
      </c>
      <c r="G27" s="112">
        <v>1671</v>
      </c>
      <c r="H27" s="112">
        <v>1602</v>
      </c>
      <c r="I27" s="112">
        <v>1786</v>
      </c>
      <c r="J27" s="310">
        <v>2558</v>
      </c>
      <c r="L27" s="112">
        <v>0</v>
      </c>
      <c r="M27" s="112">
        <v>0</v>
      </c>
      <c r="N27" s="112">
        <v>0</v>
      </c>
      <c r="O27" s="112">
        <v>0</v>
      </c>
      <c r="P27" s="23">
        <v>0.994</v>
      </c>
      <c r="Q27" s="23">
        <v>0.994</v>
      </c>
      <c r="R27" s="192">
        <v>0.995</v>
      </c>
      <c r="S27" s="250">
        <v>0.9964325043186399</v>
      </c>
      <c r="T27" s="10"/>
      <c r="U27" s="112">
        <v>0</v>
      </c>
      <c r="V27" s="112">
        <v>0</v>
      </c>
      <c r="W27" s="112">
        <v>0</v>
      </c>
      <c r="X27" s="112">
        <v>0</v>
      </c>
      <c r="Y27" s="112">
        <v>42</v>
      </c>
      <c r="Z27" s="112">
        <v>298</v>
      </c>
      <c r="AA27" s="269">
        <v>184</v>
      </c>
      <c r="AB27" s="322">
        <v>772</v>
      </c>
      <c r="AC27" s="11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5"/>
      <c r="BZ27" s="245"/>
      <c r="CA27" s="245"/>
      <c r="CB27" s="245"/>
      <c r="CC27" s="245"/>
      <c r="CD27" s="245"/>
      <c r="CE27" s="245"/>
      <c r="CF27" s="245"/>
      <c r="CG27" s="245"/>
      <c r="CH27" s="245"/>
      <c r="CI27" s="245"/>
      <c r="CJ27" s="245"/>
      <c r="CK27" s="245"/>
      <c r="CL27" s="245"/>
      <c r="CM27" s="245"/>
      <c r="CN27" s="245"/>
      <c r="CO27" s="245"/>
      <c r="CP27" s="245"/>
      <c r="CQ27" s="245"/>
      <c r="CR27" s="245"/>
      <c r="CS27" s="245"/>
      <c r="CT27" s="245"/>
      <c r="CU27" s="245"/>
      <c r="CV27" s="245"/>
      <c r="CW27" s="245"/>
      <c r="CX27" s="245"/>
      <c r="CY27" s="245"/>
      <c r="CZ27" s="245"/>
      <c r="DA27" s="245"/>
      <c r="DB27" s="245"/>
      <c r="DC27" s="245"/>
      <c r="DD27" s="245"/>
      <c r="DE27" s="245"/>
      <c r="DF27" s="245"/>
      <c r="DG27" s="245"/>
      <c r="DH27" s="245"/>
      <c r="DI27" s="245"/>
      <c r="DJ27" s="245"/>
      <c r="DK27" s="245"/>
      <c r="DL27" s="245"/>
      <c r="DM27" s="245"/>
      <c r="DN27" s="245"/>
      <c r="DO27" s="245"/>
      <c r="DP27" s="245"/>
      <c r="DQ27" s="245"/>
      <c r="DR27" s="245"/>
      <c r="DS27" s="245"/>
      <c r="DT27" s="245"/>
      <c r="DU27" s="245"/>
      <c r="DV27" s="245"/>
      <c r="DW27" s="245"/>
      <c r="DX27" s="245"/>
      <c r="DY27" s="245"/>
      <c r="DZ27" s="245"/>
      <c r="EA27" s="245"/>
      <c r="EB27" s="245"/>
      <c r="EC27" s="245"/>
      <c r="ED27" s="245"/>
      <c r="EE27" s="245"/>
      <c r="EF27" s="245"/>
      <c r="EG27" s="245"/>
      <c r="EH27" s="245"/>
      <c r="EI27" s="245"/>
      <c r="EJ27" s="245"/>
      <c r="EK27" s="245"/>
      <c r="EL27" s="245"/>
      <c r="EM27" s="245"/>
      <c r="EN27" s="245"/>
      <c r="EO27" s="245"/>
      <c r="EP27" s="245"/>
      <c r="EQ27" s="245"/>
      <c r="ER27" s="245"/>
      <c r="ES27" s="245"/>
      <c r="ET27" s="245"/>
      <c r="EU27" s="245"/>
      <c r="EV27" s="245"/>
      <c r="EW27" s="245"/>
      <c r="EX27" s="245"/>
      <c r="EY27" s="245"/>
      <c r="EZ27" s="245"/>
      <c r="FA27" s="245"/>
      <c r="FB27" s="245"/>
      <c r="FC27" s="245"/>
      <c r="FD27" s="245"/>
      <c r="FE27" s="245"/>
      <c r="FF27" s="245"/>
      <c r="FG27" s="245"/>
      <c r="FH27" s="245"/>
      <c r="FI27" s="245"/>
      <c r="FJ27" s="245"/>
      <c r="FK27" s="245"/>
      <c r="FL27" s="245"/>
      <c r="FM27" s="245"/>
      <c r="FN27" s="245"/>
      <c r="FO27" s="245"/>
      <c r="FP27" s="245"/>
      <c r="FQ27" s="245"/>
      <c r="FR27" s="245"/>
      <c r="FS27" s="245"/>
      <c r="FT27" s="245"/>
      <c r="FU27" s="245"/>
      <c r="FV27" s="245"/>
      <c r="FW27" s="245"/>
      <c r="FX27" s="245"/>
      <c r="FY27" s="245"/>
      <c r="FZ27" s="245"/>
      <c r="GA27" s="245"/>
      <c r="GB27" s="245"/>
      <c r="GC27" s="245"/>
      <c r="GD27" s="245"/>
      <c r="GE27" s="245"/>
      <c r="GF27" s="245"/>
      <c r="GG27" s="245"/>
      <c r="GH27" s="245"/>
      <c r="GI27" s="245"/>
      <c r="GJ27" s="245"/>
      <c r="GK27" s="245"/>
      <c r="GL27" s="245"/>
      <c r="GM27" s="245"/>
      <c r="GN27" s="245"/>
      <c r="GO27" s="245"/>
      <c r="GP27" s="245"/>
      <c r="GQ27" s="245"/>
      <c r="GR27" s="245"/>
      <c r="GS27" s="245"/>
      <c r="GT27" s="245"/>
    </row>
    <row r="28" spans="1:202" ht="12.75">
      <c r="A28" s="41"/>
      <c r="B28" s="10" t="s">
        <v>203</v>
      </c>
      <c r="C28" s="112">
        <v>2212</v>
      </c>
      <c r="D28" s="112">
        <v>2304</v>
      </c>
      <c r="E28" s="112">
        <v>2340</v>
      </c>
      <c r="F28" s="112">
        <v>2394</v>
      </c>
      <c r="G28" s="112">
        <v>2447</v>
      </c>
      <c r="H28" s="112">
        <v>2572</v>
      </c>
      <c r="I28" s="112">
        <v>2562</v>
      </c>
      <c r="J28" s="310">
        <v>2504</v>
      </c>
      <c r="L28" s="23">
        <v>0.575</v>
      </c>
      <c r="M28" s="23">
        <v>0.562</v>
      </c>
      <c r="N28" s="23">
        <v>0.554</v>
      </c>
      <c r="O28" s="23">
        <v>0.554</v>
      </c>
      <c r="P28" s="23">
        <v>0.549</v>
      </c>
      <c r="Q28" s="23">
        <v>0.559</v>
      </c>
      <c r="R28" s="192">
        <v>0.56</v>
      </c>
      <c r="S28" s="250">
        <v>0.5514755412767034</v>
      </c>
      <c r="T28" s="10"/>
      <c r="U28" s="112">
        <v>48</v>
      </c>
      <c r="V28" s="112">
        <v>92</v>
      </c>
      <c r="W28" s="112">
        <v>36</v>
      </c>
      <c r="X28" s="112">
        <v>54</v>
      </c>
      <c r="Y28" s="112">
        <v>53</v>
      </c>
      <c r="Z28" s="112">
        <v>125</v>
      </c>
      <c r="AA28" s="269">
        <v>-10</v>
      </c>
      <c r="AB28" s="322">
        <v>-58</v>
      </c>
      <c r="AC28" s="11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5"/>
      <c r="BZ28" s="245"/>
      <c r="CA28" s="245"/>
      <c r="CB28" s="245"/>
      <c r="CC28" s="245"/>
      <c r="CD28" s="245"/>
      <c r="CE28" s="245"/>
      <c r="CF28" s="245"/>
      <c r="CG28" s="245"/>
      <c r="CH28" s="245"/>
      <c r="CI28" s="245"/>
      <c r="CJ28" s="245"/>
      <c r="CK28" s="245"/>
      <c r="CL28" s="245"/>
      <c r="CM28" s="245"/>
      <c r="CN28" s="245"/>
      <c r="CO28" s="245"/>
      <c r="CP28" s="245"/>
      <c r="CQ28" s="245"/>
      <c r="CR28" s="245"/>
      <c r="CS28" s="245"/>
      <c r="CT28" s="245"/>
      <c r="CU28" s="245"/>
      <c r="CV28" s="245"/>
      <c r="CW28" s="245"/>
      <c r="CX28" s="245"/>
      <c r="CY28" s="245"/>
      <c r="CZ28" s="245"/>
      <c r="DA28" s="245"/>
      <c r="DB28" s="245"/>
      <c r="DC28" s="245"/>
      <c r="DD28" s="245"/>
      <c r="DE28" s="245"/>
      <c r="DF28" s="245"/>
      <c r="DG28" s="245"/>
      <c r="DH28" s="245"/>
      <c r="DI28" s="245"/>
      <c r="DJ28" s="245"/>
      <c r="DK28" s="245"/>
      <c r="DL28" s="245"/>
      <c r="DM28" s="245"/>
      <c r="DN28" s="245"/>
      <c r="DO28" s="245"/>
      <c r="DP28" s="245"/>
      <c r="DQ28" s="245"/>
      <c r="DR28" s="245"/>
      <c r="DS28" s="245"/>
      <c r="DT28" s="245"/>
      <c r="DU28" s="245"/>
      <c r="DV28" s="245"/>
      <c r="DW28" s="245"/>
      <c r="DX28" s="245"/>
      <c r="DY28" s="245"/>
      <c r="DZ28" s="245"/>
      <c r="EA28" s="245"/>
      <c r="EB28" s="245"/>
      <c r="EC28" s="245"/>
      <c r="ED28" s="245"/>
      <c r="EE28" s="245"/>
      <c r="EF28" s="245"/>
      <c r="EG28" s="245"/>
      <c r="EH28" s="245"/>
      <c r="EI28" s="245"/>
      <c r="EJ28" s="245"/>
      <c r="EK28" s="245"/>
      <c r="EL28" s="245"/>
      <c r="EM28" s="245"/>
      <c r="EN28" s="245"/>
      <c r="EO28" s="245"/>
      <c r="EP28" s="245"/>
      <c r="EQ28" s="245"/>
      <c r="ER28" s="245"/>
      <c r="ES28" s="245"/>
      <c r="ET28" s="245"/>
      <c r="EU28" s="245"/>
      <c r="EV28" s="245"/>
      <c r="EW28" s="245"/>
      <c r="EX28" s="245"/>
      <c r="EY28" s="245"/>
      <c r="EZ28" s="245"/>
      <c r="FA28" s="245"/>
      <c r="FB28" s="245"/>
      <c r="FC28" s="245"/>
      <c r="FD28" s="245"/>
      <c r="FE28" s="245"/>
      <c r="FF28" s="245"/>
      <c r="FG28" s="245"/>
      <c r="FH28" s="245"/>
      <c r="FI28" s="245"/>
      <c r="FJ28" s="245"/>
      <c r="FK28" s="245"/>
      <c r="FL28" s="245"/>
      <c r="FM28" s="245"/>
      <c r="FN28" s="245"/>
      <c r="FO28" s="245"/>
      <c r="FP28" s="245"/>
      <c r="FQ28" s="245"/>
      <c r="FR28" s="245"/>
      <c r="FS28" s="245"/>
      <c r="FT28" s="245"/>
      <c r="FU28" s="245"/>
      <c r="FV28" s="245"/>
      <c r="FW28" s="245"/>
      <c r="FX28" s="245"/>
      <c r="FY28" s="245"/>
      <c r="FZ28" s="245"/>
      <c r="GA28" s="245"/>
      <c r="GB28" s="245"/>
      <c r="GC28" s="245"/>
      <c r="GD28" s="245"/>
      <c r="GE28" s="245"/>
      <c r="GF28" s="245"/>
      <c r="GG28" s="245"/>
      <c r="GH28" s="245"/>
      <c r="GI28" s="245"/>
      <c r="GJ28" s="245"/>
      <c r="GK28" s="245"/>
      <c r="GL28" s="245"/>
      <c r="GM28" s="245"/>
      <c r="GN28" s="245"/>
      <c r="GO28" s="245"/>
      <c r="GP28" s="245"/>
      <c r="GQ28" s="245"/>
      <c r="GR28" s="245"/>
      <c r="GS28" s="245"/>
      <c r="GT28" s="245"/>
    </row>
    <row r="29" spans="1:202" ht="12.75">
      <c r="A29" s="41"/>
      <c r="B29" s="10" t="s">
        <v>260</v>
      </c>
      <c r="C29" s="112">
        <v>3183</v>
      </c>
      <c r="D29" s="112">
        <v>3698</v>
      </c>
      <c r="E29" s="112">
        <v>4092</v>
      </c>
      <c r="F29" s="112">
        <v>0</v>
      </c>
      <c r="G29" s="112">
        <v>0</v>
      </c>
      <c r="H29" s="112">
        <v>0</v>
      </c>
      <c r="I29" s="112">
        <v>0</v>
      </c>
      <c r="J29" s="310">
        <v>0</v>
      </c>
      <c r="L29" s="23">
        <v>0.987</v>
      </c>
      <c r="M29" s="23">
        <v>0.988</v>
      </c>
      <c r="N29" s="23">
        <v>0.988</v>
      </c>
      <c r="O29" s="112">
        <v>0</v>
      </c>
      <c r="P29" s="112">
        <v>0</v>
      </c>
      <c r="Q29" s="112">
        <v>0</v>
      </c>
      <c r="R29" s="269">
        <v>0</v>
      </c>
      <c r="S29" s="310">
        <v>0</v>
      </c>
      <c r="T29" s="10"/>
      <c r="U29" s="112">
        <v>418</v>
      </c>
      <c r="V29" s="112">
        <v>515</v>
      </c>
      <c r="W29" s="112">
        <v>394</v>
      </c>
      <c r="X29" s="112">
        <v>241</v>
      </c>
      <c r="Y29" s="112">
        <v>0</v>
      </c>
      <c r="Z29" s="112">
        <v>0</v>
      </c>
      <c r="AA29" s="269">
        <v>0</v>
      </c>
      <c r="AB29" s="322">
        <v>0</v>
      </c>
      <c r="AC29" s="11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c r="CL29" s="245"/>
      <c r="CM29" s="245"/>
      <c r="CN29" s="245"/>
      <c r="CO29" s="245"/>
      <c r="CP29" s="245"/>
      <c r="CQ29" s="245"/>
      <c r="CR29" s="245"/>
      <c r="CS29" s="245"/>
      <c r="CT29" s="245"/>
      <c r="CU29" s="245"/>
      <c r="CV29" s="245"/>
      <c r="CW29" s="245"/>
      <c r="CX29" s="245"/>
      <c r="CY29" s="245"/>
      <c r="CZ29" s="245"/>
      <c r="DA29" s="245"/>
      <c r="DB29" s="245"/>
      <c r="DC29" s="245"/>
      <c r="DD29" s="245"/>
      <c r="DE29" s="245"/>
      <c r="DF29" s="245"/>
      <c r="DG29" s="245"/>
      <c r="DH29" s="245"/>
      <c r="DI29" s="245"/>
      <c r="DJ29" s="245"/>
      <c r="DK29" s="245"/>
      <c r="DL29" s="245"/>
      <c r="DM29" s="245"/>
      <c r="DN29" s="245"/>
      <c r="DO29" s="245"/>
      <c r="DP29" s="245"/>
      <c r="DQ29" s="245"/>
      <c r="DR29" s="245"/>
      <c r="DS29" s="245"/>
      <c r="DT29" s="245"/>
      <c r="DU29" s="245"/>
      <c r="DV29" s="245"/>
      <c r="DW29" s="245"/>
      <c r="DX29" s="245"/>
      <c r="DY29" s="245"/>
      <c r="DZ29" s="245"/>
      <c r="EA29" s="245"/>
      <c r="EB29" s="245"/>
      <c r="EC29" s="245"/>
      <c r="ED29" s="245"/>
      <c r="EE29" s="245"/>
      <c r="EF29" s="245"/>
      <c r="EG29" s="245"/>
      <c r="EH29" s="245"/>
      <c r="EI29" s="245"/>
      <c r="EJ29" s="245"/>
      <c r="EK29" s="245"/>
      <c r="EL29" s="245"/>
      <c r="EM29" s="245"/>
      <c r="EN29" s="245"/>
      <c r="EO29" s="245"/>
      <c r="EP29" s="245"/>
      <c r="EQ29" s="245"/>
      <c r="ER29" s="245"/>
      <c r="ES29" s="245"/>
      <c r="ET29" s="245"/>
      <c r="EU29" s="245"/>
      <c r="EV29" s="245"/>
      <c r="EW29" s="245"/>
      <c r="EX29" s="245"/>
      <c r="EY29" s="245"/>
      <c r="EZ29" s="245"/>
      <c r="FA29" s="245"/>
      <c r="FB29" s="245"/>
      <c r="FC29" s="245"/>
      <c r="FD29" s="245"/>
      <c r="FE29" s="245"/>
      <c r="FF29" s="245"/>
      <c r="FG29" s="245"/>
      <c r="FH29" s="245"/>
      <c r="FI29" s="245"/>
      <c r="FJ29" s="245"/>
      <c r="FK29" s="245"/>
      <c r="FL29" s="245"/>
      <c r="FM29" s="245"/>
      <c r="FN29" s="245"/>
      <c r="FO29" s="245"/>
      <c r="FP29" s="245"/>
      <c r="FQ29" s="245"/>
      <c r="FR29" s="245"/>
      <c r="FS29" s="245"/>
      <c r="FT29" s="245"/>
      <c r="FU29" s="245"/>
      <c r="FV29" s="245"/>
      <c r="FW29" s="245"/>
      <c r="FX29" s="245"/>
      <c r="FY29" s="245"/>
      <c r="FZ29" s="245"/>
      <c r="GA29" s="245"/>
      <c r="GB29" s="245"/>
      <c r="GC29" s="245"/>
      <c r="GD29" s="245"/>
      <c r="GE29" s="245"/>
      <c r="GF29" s="245"/>
      <c r="GG29" s="245"/>
      <c r="GH29" s="245"/>
      <c r="GI29" s="245"/>
      <c r="GJ29" s="245"/>
      <c r="GK29" s="245"/>
      <c r="GL29" s="245"/>
      <c r="GM29" s="245"/>
      <c r="GN29" s="245"/>
      <c r="GO29" s="245"/>
      <c r="GP29" s="245"/>
      <c r="GQ29" s="245"/>
      <c r="GR29" s="245"/>
      <c r="GS29" s="245"/>
      <c r="GT29" s="245"/>
    </row>
    <row r="30" spans="1:202" ht="12.75">
      <c r="A30" s="41"/>
      <c r="B30" s="10" t="s">
        <v>204</v>
      </c>
      <c r="C30" s="112">
        <v>2617</v>
      </c>
      <c r="D30" s="112">
        <v>2638</v>
      </c>
      <c r="E30" s="112">
        <v>2653</v>
      </c>
      <c r="F30" s="112">
        <v>2642</v>
      </c>
      <c r="G30" s="112">
        <v>2750</v>
      </c>
      <c r="H30" s="112">
        <v>3530</v>
      </c>
      <c r="I30" s="112">
        <v>3555</v>
      </c>
      <c r="J30" s="310">
        <v>3528</v>
      </c>
      <c r="L30" s="23">
        <v>0.582</v>
      </c>
      <c r="M30" s="23">
        <v>0.565</v>
      </c>
      <c r="N30" s="23">
        <v>0.552</v>
      </c>
      <c r="O30" s="23">
        <v>0.539</v>
      </c>
      <c r="P30" s="23">
        <v>0.544</v>
      </c>
      <c r="Q30" s="23">
        <v>0.543</v>
      </c>
      <c r="R30" s="192">
        <v>0.537</v>
      </c>
      <c r="S30" s="250">
        <v>0.5327798088242636</v>
      </c>
      <c r="T30" s="10"/>
      <c r="U30" s="112">
        <v>84</v>
      </c>
      <c r="V30" s="112">
        <v>21</v>
      </c>
      <c r="W30" s="112">
        <v>15</v>
      </c>
      <c r="X30" s="112">
        <v>-11</v>
      </c>
      <c r="Y30" s="112">
        <v>108</v>
      </c>
      <c r="Z30" s="112">
        <v>97</v>
      </c>
      <c r="AA30" s="269">
        <v>25</v>
      </c>
      <c r="AB30" s="322">
        <v>-27</v>
      </c>
      <c r="AC30" s="11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5"/>
      <c r="CO30" s="245"/>
      <c r="CP30" s="245"/>
      <c r="CQ30" s="245"/>
      <c r="CR30" s="245"/>
      <c r="CS30" s="245"/>
      <c r="CT30" s="245"/>
      <c r="CU30" s="245"/>
      <c r="CV30" s="245"/>
      <c r="CW30" s="245"/>
      <c r="CX30" s="245"/>
      <c r="CY30" s="245"/>
      <c r="CZ30" s="245"/>
      <c r="DA30" s="245"/>
      <c r="DB30" s="245"/>
      <c r="DC30" s="245"/>
      <c r="DD30" s="245"/>
      <c r="DE30" s="245"/>
      <c r="DF30" s="245"/>
      <c r="DG30" s="245"/>
      <c r="DH30" s="245"/>
      <c r="DI30" s="245"/>
      <c r="DJ30" s="245"/>
      <c r="DK30" s="245"/>
      <c r="DL30" s="245"/>
      <c r="DM30" s="245"/>
      <c r="DN30" s="245"/>
      <c r="DO30" s="245"/>
      <c r="DP30" s="245"/>
      <c r="DQ30" s="245"/>
      <c r="DR30" s="245"/>
      <c r="DS30" s="245"/>
      <c r="DT30" s="245"/>
      <c r="DU30" s="245"/>
      <c r="DV30" s="245"/>
      <c r="DW30" s="245"/>
      <c r="DX30" s="245"/>
      <c r="DY30" s="245"/>
      <c r="DZ30" s="245"/>
      <c r="EA30" s="245"/>
      <c r="EB30" s="245"/>
      <c r="EC30" s="245"/>
      <c r="ED30" s="245"/>
      <c r="EE30" s="245"/>
      <c r="EF30" s="245"/>
      <c r="EG30" s="245"/>
      <c r="EH30" s="245"/>
      <c r="EI30" s="245"/>
      <c r="EJ30" s="245"/>
      <c r="EK30" s="245"/>
      <c r="EL30" s="245"/>
      <c r="EM30" s="245"/>
      <c r="EN30" s="245"/>
      <c r="EO30" s="245"/>
      <c r="EP30" s="245"/>
      <c r="EQ30" s="245"/>
      <c r="ER30" s="245"/>
      <c r="ES30" s="245"/>
      <c r="ET30" s="245"/>
      <c r="EU30" s="245"/>
      <c r="EV30" s="245"/>
      <c r="EW30" s="245"/>
      <c r="EX30" s="245"/>
      <c r="EY30" s="245"/>
      <c r="EZ30" s="245"/>
      <c r="FA30" s="245"/>
      <c r="FB30" s="245"/>
      <c r="FC30" s="245"/>
      <c r="FD30" s="245"/>
      <c r="FE30" s="245"/>
      <c r="FF30" s="245"/>
      <c r="FG30" s="245"/>
      <c r="FH30" s="245"/>
      <c r="FI30" s="245"/>
      <c r="FJ30" s="245"/>
      <c r="FK30" s="245"/>
      <c r="FL30" s="245"/>
      <c r="FM30" s="245"/>
      <c r="FN30" s="245"/>
      <c r="FO30" s="245"/>
      <c r="FP30" s="245"/>
      <c r="FQ30" s="245"/>
      <c r="FR30" s="245"/>
      <c r="FS30" s="245"/>
      <c r="FT30" s="245"/>
      <c r="FU30" s="245"/>
      <c r="FV30" s="245"/>
      <c r="FW30" s="245"/>
      <c r="FX30" s="245"/>
      <c r="FY30" s="245"/>
      <c r="FZ30" s="245"/>
      <c r="GA30" s="245"/>
      <c r="GB30" s="245"/>
      <c r="GC30" s="245"/>
      <c r="GD30" s="245"/>
      <c r="GE30" s="245"/>
      <c r="GF30" s="245"/>
      <c r="GG30" s="245"/>
      <c r="GH30" s="245"/>
      <c r="GI30" s="245"/>
      <c r="GJ30" s="245"/>
      <c r="GK30" s="245"/>
      <c r="GL30" s="245"/>
      <c r="GM30" s="245"/>
      <c r="GN30" s="245"/>
      <c r="GO30" s="245"/>
      <c r="GP30" s="245"/>
      <c r="GQ30" s="245"/>
      <c r="GR30" s="245"/>
      <c r="GS30" s="245"/>
      <c r="GT30" s="245"/>
    </row>
    <row r="31" spans="1:202" ht="12.75">
      <c r="A31" s="41"/>
      <c r="B31" s="10" t="s">
        <v>113</v>
      </c>
      <c r="C31" s="112">
        <v>8579</v>
      </c>
      <c r="D31" s="112">
        <v>8808</v>
      </c>
      <c r="E31" s="112">
        <v>8921</v>
      </c>
      <c r="F31" s="112">
        <v>9256</v>
      </c>
      <c r="G31" s="112">
        <v>9516</v>
      </c>
      <c r="H31" s="112">
        <v>9650</v>
      </c>
      <c r="I31" s="112">
        <v>9588</v>
      </c>
      <c r="J31" s="310">
        <v>9533</v>
      </c>
      <c r="L31" s="23">
        <v>0.659</v>
      </c>
      <c r="M31" s="23">
        <v>0.652</v>
      </c>
      <c r="N31" s="23">
        <v>0.641</v>
      </c>
      <c r="O31" s="23">
        <v>0.639</v>
      </c>
      <c r="P31" s="23">
        <v>0.633</v>
      </c>
      <c r="Q31" s="23">
        <v>0.621</v>
      </c>
      <c r="R31" s="192">
        <v>0.617</v>
      </c>
      <c r="S31" s="250">
        <v>0.6161304501533171</v>
      </c>
      <c r="T31" s="10"/>
      <c r="U31" s="112">
        <v>356</v>
      </c>
      <c r="V31" s="112">
        <v>229</v>
      </c>
      <c r="W31" s="112">
        <v>113</v>
      </c>
      <c r="X31" s="112">
        <v>335</v>
      </c>
      <c r="Y31" s="112">
        <v>260</v>
      </c>
      <c r="Z31" s="112">
        <v>134</v>
      </c>
      <c r="AA31" s="269">
        <v>-62</v>
      </c>
      <c r="AB31" s="322">
        <v>-55</v>
      </c>
      <c r="AC31" s="11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245"/>
      <c r="BX31" s="245"/>
      <c r="BY31" s="245"/>
      <c r="BZ31" s="245"/>
      <c r="CA31" s="245"/>
      <c r="CB31" s="245"/>
      <c r="CC31" s="245"/>
      <c r="CD31" s="245"/>
      <c r="CE31" s="245"/>
      <c r="CF31" s="245"/>
      <c r="CG31" s="245"/>
      <c r="CH31" s="245"/>
      <c r="CI31" s="245"/>
      <c r="CJ31" s="245"/>
      <c r="CK31" s="245"/>
      <c r="CL31" s="245"/>
      <c r="CM31" s="245"/>
      <c r="CN31" s="245"/>
      <c r="CO31" s="245"/>
      <c r="CP31" s="245"/>
      <c r="CQ31" s="245"/>
      <c r="CR31" s="245"/>
      <c r="CS31" s="245"/>
      <c r="CT31" s="245"/>
      <c r="CU31" s="245"/>
      <c r="CV31" s="245"/>
      <c r="CW31" s="245"/>
      <c r="CX31" s="245"/>
      <c r="CY31" s="245"/>
      <c r="CZ31" s="245"/>
      <c r="DA31" s="245"/>
      <c r="DB31" s="245"/>
      <c r="DC31" s="245"/>
      <c r="DD31" s="245"/>
      <c r="DE31" s="245"/>
      <c r="DF31" s="245"/>
      <c r="DG31" s="245"/>
      <c r="DH31" s="245"/>
      <c r="DI31" s="245"/>
      <c r="DJ31" s="245"/>
      <c r="DK31" s="245"/>
      <c r="DL31" s="245"/>
      <c r="DM31" s="245"/>
      <c r="DN31" s="245"/>
      <c r="DO31" s="245"/>
      <c r="DP31" s="245"/>
      <c r="DQ31" s="245"/>
      <c r="DR31" s="245"/>
      <c r="DS31" s="245"/>
      <c r="DT31" s="245"/>
      <c r="DU31" s="245"/>
      <c r="DV31" s="245"/>
      <c r="DW31" s="245"/>
      <c r="DX31" s="245"/>
      <c r="DY31" s="245"/>
      <c r="DZ31" s="245"/>
      <c r="EA31" s="245"/>
      <c r="EB31" s="245"/>
      <c r="EC31" s="245"/>
      <c r="ED31" s="245"/>
      <c r="EE31" s="245"/>
      <c r="EF31" s="245"/>
      <c r="EG31" s="245"/>
      <c r="EH31" s="245"/>
      <c r="EI31" s="245"/>
      <c r="EJ31" s="245"/>
      <c r="EK31" s="245"/>
      <c r="EL31" s="245"/>
      <c r="EM31" s="245"/>
      <c r="EN31" s="245"/>
      <c r="EO31" s="245"/>
      <c r="EP31" s="245"/>
      <c r="EQ31" s="245"/>
      <c r="ER31" s="245"/>
      <c r="ES31" s="245"/>
      <c r="ET31" s="245"/>
      <c r="EU31" s="245"/>
      <c r="EV31" s="245"/>
      <c r="EW31" s="245"/>
      <c r="EX31" s="245"/>
      <c r="EY31" s="245"/>
      <c r="EZ31" s="245"/>
      <c r="FA31" s="245"/>
      <c r="FB31" s="245"/>
      <c r="FC31" s="245"/>
      <c r="FD31" s="245"/>
      <c r="FE31" s="245"/>
      <c r="FF31" s="245"/>
      <c r="FG31" s="245"/>
      <c r="FH31" s="245"/>
      <c r="FI31" s="245"/>
      <c r="FJ31" s="245"/>
      <c r="FK31" s="245"/>
      <c r="FL31" s="245"/>
      <c r="FM31" s="245"/>
      <c r="FN31" s="245"/>
      <c r="FO31" s="245"/>
      <c r="FP31" s="245"/>
      <c r="FQ31" s="245"/>
      <c r="FR31" s="245"/>
      <c r="FS31" s="245"/>
      <c r="FT31" s="245"/>
      <c r="FU31" s="245"/>
      <c r="FV31" s="245"/>
      <c r="FW31" s="245"/>
      <c r="FX31" s="245"/>
      <c r="FY31" s="245"/>
      <c r="FZ31" s="245"/>
      <c r="GA31" s="245"/>
      <c r="GB31" s="245"/>
      <c r="GC31" s="245"/>
      <c r="GD31" s="245"/>
      <c r="GE31" s="245"/>
      <c r="GF31" s="245"/>
      <c r="GG31" s="245"/>
      <c r="GH31" s="245"/>
      <c r="GI31" s="245"/>
      <c r="GJ31" s="245"/>
      <c r="GK31" s="245"/>
      <c r="GL31" s="245"/>
      <c r="GM31" s="245"/>
      <c r="GN31" s="245"/>
      <c r="GO31" s="245"/>
      <c r="GP31" s="245"/>
      <c r="GQ31" s="245"/>
      <c r="GR31" s="245"/>
      <c r="GS31" s="245"/>
      <c r="GT31" s="245"/>
    </row>
    <row r="32" spans="1:202" ht="12.75">
      <c r="A32" s="41"/>
      <c r="B32" s="10" t="s">
        <v>114</v>
      </c>
      <c r="C32" s="112">
        <v>15709</v>
      </c>
      <c r="D32" s="112">
        <v>16116</v>
      </c>
      <c r="E32" s="112">
        <v>16935</v>
      </c>
      <c r="F32" s="112">
        <v>17409</v>
      </c>
      <c r="G32" s="112">
        <v>17363</v>
      </c>
      <c r="H32" s="112">
        <v>16720</v>
      </c>
      <c r="I32" s="112">
        <v>15481</v>
      </c>
      <c r="J32" s="310">
        <v>14965</v>
      </c>
      <c r="L32" s="23">
        <v>0.9</v>
      </c>
      <c r="M32" s="23">
        <v>0.894</v>
      </c>
      <c r="N32" s="23">
        <v>0.886</v>
      </c>
      <c r="O32" s="23">
        <v>0.886</v>
      </c>
      <c r="P32" s="23">
        <v>0.888</v>
      </c>
      <c r="Q32" s="23">
        <v>0.885</v>
      </c>
      <c r="R32" s="192">
        <v>0.873</v>
      </c>
      <c r="S32" s="250">
        <v>0.8637923373045386</v>
      </c>
      <c r="T32" s="10"/>
      <c r="U32" s="112">
        <v>1312</v>
      </c>
      <c r="V32" s="112">
        <v>407</v>
      </c>
      <c r="W32" s="112">
        <v>819</v>
      </c>
      <c r="X32" s="112">
        <v>474</v>
      </c>
      <c r="Y32" s="112">
        <v>-46</v>
      </c>
      <c r="Z32" s="112">
        <v>-643</v>
      </c>
      <c r="AA32" s="269">
        <v>-1239</v>
      </c>
      <c r="AB32" s="322">
        <v>-516</v>
      </c>
      <c r="AC32" s="11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5"/>
      <c r="BX32" s="245"/>
      <c r="BY32" s="245"/>
      <c r="BZ32" s="245"/>
      <c r="CA32" s="245"/>
      <c r="CB32" s="245"/>
      <c r="CC32" s="245"/>
      <c r="CD32" s="245"/>
      <c r="CE32" s="245"/>
      <c r="CF32" s="245"/>
      <c r="CG32" s="245"/>
      <c r="CH32" s="245"/>
      <c r="CI32" s="245"/>
      <c r="CJ32" s="245"/>
      <c r="CK32" s="245"/>
      <c r="CL32" s="245"/>
      <c r="CM32" s="245"/>
      <c r="CN32" s="245"/>
      <c r="CO32" s="245"/>
      <c r="CP32" s="245"/>
      <c r="CQ32" s="245"/>
      <c r="CR32" s="245"/>
      <c r="CS32" s="245"/>
      <c r="CT32" s="245"/>
      <c r="CU32" s="245"/>
      <c r="CV32" s="245"/>
      <c r="CW32" s="245"/>
      <c r="CX32" s="245"/>
      <c r="CY32" s="245"/>
      <c r="CZ32" s="245"/>
      <c r="DA32" s="245"/>
      <c r="DB32" s="245"/>
      <c r="DC32" s="245"/>
      <c r="DD32" s="245"/>
      <c r="DE32" s="245"/>
      <c r="DF32" s="245"/>
      <c r="DG32" s="245"/>
      <c r="DH32" s="245"/>
      <c r="DI32" s="245"/>
      <c r="DJ32" s="245"/>
      <c r="DK32" s="245"/>
      <c r="DL32" s="245"/>
      <c r="DM32" s="245"/>
      <c r="DN32" s="245"/>
      <c r="DO32" s="245"/>
      <c r="DP32" s="245"/>
      <c r="DQ32" s="245"/>
      <c r="DR32" s="245"/>
      <c r="DS32" s="245"/>
      <c r="DT32" s="245"/>
      <c r="DU32" s="245"/>
      <c r="DV32" s="245"/>
      <c r="DW32" s="245"/>
      <c r="DX32" s="245"/>
      <c r="DY32" s="245"/>
      <c r="DZ32" s="245"/>
      <c r="EA32" s="245"/>
      <c r="EB32" s="245"/>
      <c r="EC32" s="245"/>
      <c r="ED32" s="245"/>
      <c r="EE32" s="245"/>
      <c r="EF32" s="245"/>
      <c r="EG32" s="245"/>
      <c r="EH32" s="245"/>
      <c r="EI32" s="245"/>
      <c r="EJ32" s="245"/>
      <c r="EK32" s="245"/>
      <c r="EL32" s="245"/>
      <c r="EM32" s="245"/>
      <c r="EN32" s="245"/>
      <c r="EO32" s="245"/>
      <c r="EP32" s="245"/>
      <c r="EQ32" s="245"/>
      <c r="ER32" s="245"/>
      <c r="ES32" s="245"/>
      <c r="ET32" s="245"/>
      <c r="EU32" s="245"/>
      <c r="EV32" s="245"/>
      <c r="EW32" s="245"/>
      <c r="EX32" s="245"/>
      <c r="EY32" s="245"/>
      <c r="EZ32" s="245"/>
      <c r="FA32" s="245"/>
      <c r="FB32" s="245"/>
      <c r="FC32" s="245"/>
      <c r="FD32" s="245"/>
      <c r="FE32" s="245"/>
      <c r="FF32" s="245"/>
      <c r="FG32" s="245"/>
      <c r="FH32" s="245"/>
      <c r="FI32" s="245"/>
      <c r="FJ32" s="245"/>
      <c r="FK32" s="245"/>
      <c r="FL32" s="245"/>
      <c r="FM32" s="245"/>
      <c r="FN32" s="245"/>
      <c r="FO32" s="245"/>
      <c r="FP32" s="245"/>
      <c r="FQ32" s="245"/>
      <c r="FR32" s="245"/>
      <c r="FS32" s="245"/>
      <c r="FT32" s="245"/>
      <c r="FU32" s="245"/>
      <c r="FV32" s="245"/>
      <c r="FW32" s="245"/>
      <c r="FX32" s="245"/>
      <c r="FY32" s="245"/>
      <c r="FZ32" s="245"/>
      <c r="GA32" s="245"/>
      <c r="GB32" s="245"/>
      <c r="GC32" s="245"/>
      <c r="GD32" s="245"/>
      <c r="GE32" s="245"/>
      <c r="GF32" s="245"/>
      <c r="GG32" s="245"/>
      <c r="GH32" s="245"/>
      <c r="GI32" s="245"/>
      <c r="GJ32" s="245"/>
      <c r="GK32" s="245"/>
      <c r="GL32" s="245"/>
      <c r="GM32" s="245"/>
      <c r="GN32" s="245"/>
      <c r="GO32" s="245"/>
      <c r="GP32" s="245"/>
      <c r="GQ32" s="245"/>
      <c r="GR32" s="245"/>
      <c r="GS32" s="245"/>
      <c r="GT32" s="245"/>
    </row>
    <row r="33" spans="3:202" s="41" customFormat="1" ht="12.75">
      <c r="C33" s="123">
        <v>50665</v>
      </c>
      <c r="D33" s="123">
        <v>52743</v>
      </c>
      <c r="E33" s="123">
        <v>54637</v>
      </c>
      <c r="F33" s="123">
        <v>51733</v>
      </c>
      <c r="G33" s="123">
        <v>54419</v>
      </c>
      <c r="H33" s="123">
        <v>55851</v>
      </c>
      <c r="I33" s="123">
        <v>55688</v>
      </c>
      <c r="J33" s="121">
        <v>77329</v>
      </c>
      <c r="L33" s="314">
        <v>0.804</v>
      </c>
      <c r="M33" s="314">
        <v>0.804</v>
      </c>
      <c r="N33" s="314">
        <v>0.802</v>
      </c>
      <c r="O33" s="314">
        <v>0.801</v>
      </c>
      <c r="P33" s="314">
        <v>0.805</v>
      </c>
      <c r="Q33" s="314">
        <v>0.805</v>
      </c>
      <c r="R33" s="315">
        <v>0.805</v>
      </c>
      <c r="S33" s="122">
        <v>0.7784615734616195</v>
      </c>
      <c r="U33" s="123">
        <v>3301</v>
      </c>
      <c r="V33" s="123">
        <v>2078</v>
      </c>
      <c r="W33" s="123">
        <v>1894</v>
      </c>
      <c r="X33" s="123">
        <v>1429</v>
      </c>
      <c r="Y33" s="123">
        <v>1057</v>
      </c>
      <c r="Z33" s="123">
        <v>1116</v>
      </c>
      <c r="AA33" s="279">
        <f>SUM(AA25:AA32)</f>
        <v>-163</v>
      </c>
      <c r="AB33" s="275">
        <f>SUM(AB25:AB32)</f>
        <v>1448</v>
      </c>
      <c r="AC33" s="116"/>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5"/>
      <c r="BX33" s="245"/>
      <c r="BY33" s="245"/>
      <c r="BZ33" s="245"/>
      <c r="CA33" s="245"/>
      <c r="CB33" s="245"/>
      <c r="CC33" s="245"/>
      <c r="CD33" s="245"/>
      <c r="CE33" s="245"/>
      <c r="CF33" s="245"/>
      <c r="CG33" s="245"/>
      <c r="CH33" s="245"/>
      <c r="CI33" s="245"/>
      <c r="CJ33" s="245"/>
      <c r="CK33" s="245"/>
      <c r="CL33" s="245"/>
      <c r="CM33" s="245"/>
      <c r="CN33" s="245"/>
      <c r="CO33" s="245"/>
      <c r="CP33" s="245"/>
      <c r="CQ33" s="245"/>
      <c r="CR33" s="245"/>
      <c r="CS33" s="245"/>
      <c r="CT33" s="245"/>
      <c r="CU33" s="245"/>
      <c r="CV33" s="245"/>
      <c r="CW33" s="245"/>
      <c r="CX33" s="245"/>
      <c r="CY33" s="245"/>
      <c r="CZ33" s="245"/>
      <c r="DA33" s="245"/>
      <c r="DB33" s="245"/>
      <c r="DC33" s="245"/>
      <c r="DD33" s="245"/>
      <c r="DE33" s="245"/>
      <c r="DF33" s="245"/>
      <c r="DG33" s="245"/>
      <c r="DH33" s="245"/>
      <c r="DI33" s="245"/>
      <c r="DJ33" s="245"/>
      <c r="DK33" s="245"/>
      <c r="DL33" s="245"/>
      <c r="DM33" s="245"/>
      <c r="DN33" s="245"/>
      <c r="DO33" s="245"/>
      <c r="DP33" s="245"/>
      <c r="DQ33" s="245"/>
      <c r="DR33" s="245"/>
      <c r="DS33" s="245"/>
      <c r="DT33" s="245"/>
      <c r="DU33" s="245"/>
      <c r="DV33" s="245"/>
      <c r="DW33" s="245"/>
      <c r="DX33" s="245"/>
      <c r="DY33" s="245"/>
      <c r="DZ33" s="245"/>
      <c r="EA33" s="245"/>
      <c r="EB33" s="245"/>
      <c r="EC33" s="245"/>
      <c r="ED33" s="245"/>
      <c r="EE33" s="245"/>
      <c r="EF33" s="245"/>
      <c r="EG33" s="245"/>
      <c r="EH33" s="245"/>
      <c r="EI33" s="245"/>
      <c r="EJ33" s="245"/>
      <c r="EK33" s="245"/>
      <c r="EL33" s="245"/>
      <c r="EM33" s="245"/>
      <c r="EN33" s="245"/>
      <c r="EO33" s="245"/>
      <c r="EP33" s="245"/>
      <c r="EQ33" s="245"/>
      <c r="ER33" s="245"/>
      <c r="ES33" s="245"/>
      <c r="ET33" s="245"/>
      <c r="EU33" s="245"/>
      <c r="EV33" s="245"/>
      <c r="EW33" s="245"/>
      <c r="EX33" s="245"/>
      <c r="EY33" s="245"/>
      <c r="EZ33" s="245"/>
      <c r="FA33" s="245"/>
      <c r="FB33" s="245"/>
      <c r="FC33" s="245"/>
      <c r="FD33" s="245"/>
      <c r="FE33" s="245"/>
      <c r="FF33" s="245"/>
      <c r="FG33" s="245"/>
      <c r="FH33" s="245"/>
      <c r="FI33" s="245"/>
      <c r="FJ33" s="245"/>
      <c r="FK33" s="245"/>
      <c r="FL33" s="245"/>
      <c r="FM33" s="245"/>
      <c r="FN33" s="245"/>
      <c r="FO33" s="245"/>
      <c r="FP33" s="245"/>
      <c r="FQ33" s="245"/>
      <c r="FR33" s="245"/>
      <c r="FS33" s="245"/>
      <c r="FT33" s="245"/>
      <c r="FU33" s="245"/>
      <c r="FV33" s="245"/>
      <c r="FW33" s="245"/>
      <c r="FX33" s="245"/>
      <c r="FY33" s="245"/>
      <c r="FZ33" s="245"/>
      <c r="GA33" s="245"/>
      <c r="GB33" s="245"/>
      <c r="GC33" s="245"/>
      <c r="GD33" s="245"/>
      <c r="GE33" s="245"/>
      <c r="GF33" s="245"/>
      <c r="GG33" s="245"/>
      <c r="GH33" s="245"/>
      <c r="GI33" s="245"/>
      <c r="GJ33" s="245"/>
      <c r="GK33" s="245"/>
      <c r="GL33" s="245"/>
      <c r="GM33" s="245"/>
      <c r="GN33" s="245"/>
      <c r="GO33" s="245"/>
      <c r="GP33" s="245"/>
      <c r="GQ33" s="245"/>
      <c r="GR33" s="245"/>
      <c r="GS33" s="245"/>
      <c r="GT33" s="245"/>
    </row>
    <row r="34" spans="1:202" ht="12.75">
      <c r="A34" s="41"/>
      <c r="C34" s="115"/>
      <c r="D34" s="115"/>
      <c r="E34" s="115"/>
      <c r="F34" s="115"/>
      <c r="G34" s="115"/>
      <c r="H34" s="115"/>
      <c r="I34" s="115"/>
      <c r="J34" s="116"/>
      <c r="L34" s="23"/>
      <c r="M34" s="23"/>
      <c r="N34" s="23"/>
      <c r="O34" s="23"/>
      <c r="P34" s="23"/>
      <c r="Q34" s="23"/>
      <c r="R34" s="192"/>
      <c r="S34" s="319"/>
      <c r="T34" s="10"/>
      <c r="U34" s="112"/>
      <c r="V34" s="112"/>
      <c r="W34" s="112"/>
      <c r="X34" s="112"/>
      <c r="Y34" s="112"/>
      <c r="Z34" s="112"/>
      <c r="AA34" s="269"/>
      <c r="AB34" s="269"/>
      <c r="AC34" s="11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5"/>
      <c r="BQ34" s="245"/>
      <c r="BR34" s="245"/>
      <c r="BS34" s="245"/>
      <c r="BT34" s="245"/>
      <c r="BU34" s="245"/>
      <c r="BV34" s="245"/>
      <c r="BW34" s="245"/>
      <c r="BX34" s="245"/>
      <c r="BY34" s="245"/>
      <c r="BZ34" s="245"/>
      <c r="CA34" s="245"/>
      <c r="CB34" s="245"/>
      <c r="CC34" s="245"/>
      <c r="CD34" s="245"/>
      <c r="CE34" s="245"/>
      <c r="CF34" s="245"/>
      <c r="CG34" s="245"/>
      <c r="CH34" s="245"/>
      <c r="CI34" s="245"/>
      <c r="CJ34" s="245"/>
      <c r="CK34" s="245"/>
      <c r="CL34" s="245"/>
      <c r="CM34" s="245"/>
      <c r="CN34" s="245"/>
      <c r="CO34" s="245"/>
      <c r="CP34" s="245"/>
      <c r="CQ34" s="245"/>
      <c r="CR34" s="245"/>
      <c r="CS34" s="245"/>
      <c r="CT34" s="245"/>
      <c r="CU34" s="245"/>
      <c r="CV34" s="245"/>
      <c r="CW34" s="245"/>
      <c r="CX34" s="245"/>
      <c r="CY34" s="245"/>
      <c r="CZ34" s="245"/>
      <c r="DA34" s="245"/>
      <c r="DB34" s="245"/>
      <c r="DC34" s="245"/>
      <c r="DD34" s="245"/>
      <c r="DE34" s="245"/>
      <c r="DF34" s="245"/>
      <c r="DG34" s="245"/>
      <c r="DH34" s="245"/>
      <c r="DI34" s="245"/>
      <c r="DJ34" s="245"/>
      <c r="DK34" s="245"/>
      <c r="DL34" s="245"/>
      <c r="DM34" s="245"/>
      <c r="DN34" s="245"/>
      <c r="DO34" s="245"/>
      <c r="DP34" s="245"/>
      <c r="DQ34" s="245"/>
      <c r="DR34" s="245"/>
      <c r="DS34" s="245"/>
      <c r="DT34" s="245"/>
      <c r="DU34" s="245"/>
      <c r="DV34" s="245"/>
      <c r="DW34" s="245"/>
      <c r="DX34" s="245"/>
      <c r="DY34" s="245"/>
      <c r="DZ34" s="245"/>
      <c r="EA34" s="245"/>
      <c r="EB34" s="245"/>
      <c r="EC34" s="245"/>
      <c r="ED34" s="245"/>
      <c r="EE34" s="245"/>
      <c r="EF34" s="245"/>
      <c r="EG34" s="245"/>
      <c r="EH34" s="245"/>
      <c r="EI34" s="245"/>
      <c r="EJ34" s="245"/>
      <c r="EK34" s="245"/>
      <c r="EL34" s="245"/>
      <c r="EM34" s="245"/>
      <c r="EN34" s="245"/>
      <c r="EO34" s="245"/>
      <c r="EP34" s="245"/>
      <c r="EQ34" s="245"/>
      <c r="ER34" s="245"/>
      <c r="ES34" s="245"/>
      <c r="ET34" s="245"/>
      <c r="EU34" s="245"/>
      <c r="EV34" s="245"/>
      <c r="EW34" s="245"/>
      <c r="EX34" s="245"/>
      <c r="EY34" s="245"/>
      <c r="EZ34" s="245"/>
      <c r="FA34" s="245"/>
      <c r="FB34" s="245"/>
      <c r="FC34" s="245"/>
      <c r="FD34" s="245"/>
      <c r="FE34" s="245"/>
      <c r="FF34" s="245"/>
      <c r="FG34" s="245"/>
      <c r="FH34" s="245"/>
      <c r="FI34" s="245"/>
      <c r="FJ34" s="245"/>
      <c r="FK34" s="245"/>
      <c r="FL34" s="245"/>
      <c r="FM34" s="245"/>
      <c r="FN34" s="245"/>
      <c r="FO34" s="245"/>
      <c r="FP34" s="245"/>
      <c r="FQ34" s="245"/>
      <c r="FR34" s="245"/>
      <c r="FS34" s="245"/>
      <c r="FT34" s="245"/>
      <c r="FU34" s="245"/>
      <c r="FV34" s="245"/>
      <c r="FW34" s="245"/>
      <c r="FX34" s="245"/>
      <c r="FY34" s="245"/>
      <c r="FZ34" s="245"/>
      <c r="GA34" s="245"/>
      <c r="GB34" s="245"/>
      <c r="GC34" s="245"/>
      <c r="GD34" s="245"/>
      <c r="GE34" s="245"/>
      <c r="GF34" s="245"/>
      <c r="GG34" s="245"/>
      <c r="GH34" s="245"/>
      <c r="GI34" s="245"/>
      <c r="GJ34" s="245"/>
      <c r="GK34" s="245"/>
      <c r="GL34" s="245"/>
      <c r="GM34" s="245"/>
      <c r="GN34" s="245"/>
      <c r="GO34" s="245"/>
      <c r="GP34" s="245"/>
      <c r="GQ34" s="245"/>
      <c r="GR34" s="245"/>
      <c r="GS34" s="245"/>
      <c r="GT34" s="245"/>
    </row>
    <row r="35" spans="1:202" ht="12.75">
      <c r="A35" s="41" t="s">
        <v>215</v>
      </c>
      <c r="B35" s="41"/>
      <c r="C35" s="112"/>
      <c r="D35" s="112"/>
      <c r="E35" s="112"/>
      <c r="F35" s="112"/>
      <c r="G35" s="112"/>
      <c r="H35" s="112"/>
      <c r="I35" s="112"/>
      <c r="J35" s="310"/>
      <c r="L35" s="23"/>
      <c r="M35" s="23"/>
      <c r="N35" s="23"/>
      <c r="O35" s="23"/>
      <c r="P35" s="23"/>
      <c r="Q35" s="23"/>
      <c r="R35" s="192"/>
      <c r="S35" s="319"/>
      <c r="T35" s="10"/>
      <c r="U35" s="112"/>
      <c r="V35" s="112"/>
      <c r="W35" s="112"/>
      <c r="X35" s="112"/>
      <c r="Y35" s="112"/>
      <c r="Z35" s="112"/>
      <c r="AA35" s="269"/>
      <c r="AB35" s="269"/>
      <c r="AC35" s="11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c r="DV35" s="245"/>
      <c r="DW35" s="245"/>
      <c r="DX35" s="245"/>
      <c r="DY35" s="245"/>
      <c r="DZ35" s="245"/>
      <c r="EA35" s="245"/>
      <c r="EB35" s="245"/>
      <c r="EC35" s="245"/>
      <c r="ED35" s="245"/>
      <c r="EE35" s="245"/>
      <c r="EF35" s="245"/>
      <c r="EG35" s="245"/>
      <c r="EH35" s="245"/>
      <c r="EI35" s="245"/>
      <c r="EJ35" s="245"/>
      <c r="EK35" s="245"/>
      <c r="EL35" s="245"/>
      <c r="EM35" s="245"/>
      <c r="EN35" s="245"/>
      <c r="EO35" s="245"/>
      <c r="EP35" s="245"/>
      <c r="EQ35" s="245"/>
      <c r="ER35" s="245"/>
      <c r="ES35" s="245"/>
      <c r="ET35" s="245"/>
      <c r="EU35" s="245"/>
      <c r="EV35" s="245"/>
      <c r="EW35" s="245"/>
      <c r="EX35" s="245"/>
      <c r="EY35" s="245"/>
      <c r="EZ35" s="245"/>
      <c r="FA35" s="245"/>
      <c r="FB35" s="245"/>
      <c r="FC35" s="245"/>
      <c r="FD35" s="245"/>
      <c r="FE35" s="245"/>
      <c r="FF35" s="245"/>
      <c r="FG35" s="245"/>
      <c r="FH35" s="245"/>
      <c r="FI35" s="245"/>
      <c r="FJ35" s="245"/>
      <c r="FK35" s="245"/>
      <c r="FL35" s="245"/>
      <c r="FM35" s="245"/>
      <c r="FN35" s="245"/>
      <c r="FO35" s="245"/>
      <c r="FP35" s="245"/>
      <c r="FQ35" s="245"/>
      <c r="FR35" s="245"/>
      <c r="FS35" s="245"/>
      <c r="FT35" s="245"/>
      <c r="FU35" s="245"/>
      <c r="FV35" s="245"/>
      <c r="FW35" s="245"/>
      <c r="FX35" s="245"/>
      <c r="FY35" s="245"/>
      <c r="FZ35" s="245"/>
      <c r="GA35" s="245"/>
      <c r="GB35" s="245"/>
      <c r="GC35" s="245"/>
      <c r="GD35" s="245"/>
      <c r="GE35" s="245"/>
      <c r="GF35" s="245"/>
      <c r="GG35" s="245"/>
      <c r="GH35" s="245"/>
      <c r="GI35" s="245"/>
      <c r="GJ35" s="245"/>
      <c r="GK35" s="245"/>
      <c r="GL35" s="245"/>
      <c r="GM35" s="245"/>
      <c r="GN35" s="245"/>
      <c r="GO35" s="245"/>
      <c r="GP35" s="245"/>
      <c r="GQ35" s="245"/>
      <c r="GR35" s="245"/>
      <c r="GS35" s="245"/>
      <c r="GT35" s="245"/>
    </row>
    <row r="36" spans="1:202" ht="12.75">
      <c r="A36" s="41"/>
      <c r="B36" s="10" t="s">
        <v>116</v>
      </c>
      <c r="C36" s="112">
        <v>35658</v>
      </c>
      <c r="D36" s="112">
        <v>39865</v>
      </c>
      <c r="E36" s="112">
        <v>44126</v>
      </c>
      <c r="F36" s="112">
        <v>49195</v>
      </c>
      <c r="G36" s="112">
        <v>54625</v>
      </c>
      <c r="H36" s="112">
        <v>60933</v>
      </c>
      <c r="I36" s="112">
        <v>68769</v>
      </c>
      <c r="J36" s="310">
        <v>76450</v>
      </c>
      <c r="L36" s="23">
        <v>0.89</v>
      </c>
      <c r="M36" s="23">
        <v>0.896</v>
      </c>
      <c r="N36" s="23">
        <v>0.902</v>
      </c>
      <c r="O36" s="23">
        <v>0.909</v>
      </c>
      <c r="P36" s="23">
        <v>0.915</v>
      </c>
      <c r="Q36" s="23">
        <v>0.921</v>
      </c>
      <c r="R36" s="192">
        <v>0.927</v>
      </c>
      <c r="S36" s="319">
        <v>0.931612393828415</v>
      </c>
      <c r="T36" s="10"/>
      <c r="U36" s="112">
        <v>4906</v>
      </c>
      <c r="V36" s="112">
        <v>4207</v>
      </c>
      <c r="W36" s="112">
        <v>4261</v>
      </c>
      <c r="X36" s="112">
        <v>5069</v>
      </c>
      <c r="Y36" s="112">
        <v>5430</v>
      </c>
      <c r="Z36" s="112">
        <v>6308</v>
      </c>
      <c r="AA36" s="269">
        <v>7836</v>
      </c>
      <c r="AB36" s="322">
        <v>7681</v>
      </c>
      <c r="AC36" s="11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E36" s="245"/>
      <c r="DF36" s="245"/>
      <c r="DG36" s="245"/>
      <c r="DH36" s="245"/>
      <c r="DI36" s="245"/>
      <c r="DJ36" s="245"/>
      <c r="DK36" s="245"/>
      <c r="DL36" s="245"/>
      <c r="DM36" s="245"/>
      <c r="DN36" s="245"/>
      <c r="DO36" s="245"/>
      <c r="DP36" s="245"/>
      <c r="DQ36" s="245"/>
      <c r="DR36" s="245"/>
      <c r="DS36" s="245"/>
      <c r="DT36" s="245"/>
      <c r="DU36" s="245"/>
      <c r="DV36" s="245"/>
      <c r="DW36" s="245"/>
      <c r="DX36" s="245"/>
      <c r="DY36" s="245"/>
      <c r="DZ36" s="245"/>
      <c r="EA36" s="245"/>
      <c r="EB36" s="245"/>
      <c r="EC36" s="245"/>
      <c r="ED36" s="245"/>
      <c r="EE36" s="245"/>
      <c r="EF36" s="245"/>
      <c r="EG36" s="245"/>
      <c r="EH36" s="245"/>
      <c r="EI36" s="245"/>
      <c r="EJ36" s="245"/>
      <c r="EK36" s="245"/>
      <c r="EL36" s="245"/>
      <c r="EM36" s="245"/>
      <c r="EN36" s="245"/>
      <c r="EO36" s="245"/>
      <c r="EP36" s="245"/>
      <c r="EQ36" s="245"/>
      <c r="ER36" s="245"/>
      <c r="ES36" s="245"/>
      <c r="ET36" s="245"/>
      <c r="EU36" s="245"/>
      <c r="EV36" s="245"/>
      <c r="EW36" s="245"/>
      <c r="EX36" s="245"/>
      <c r="EY36" s="245"/>
      <c r="EZ36" s="245"/>
      <c r="FA36" s="245"/>
      <c r="FB36" s="245"/>
      <c r="FC36" s="245"/>
      <c r="FD36" s="245"/>
      <c r="FE36" s="245"/>
      <c r="FF36" s="245"/>
      <c r="FG36" s="245"/>
      <c r="FH36" s="245"/>
      <c r="FI36" s="245"/>
      <c r="FJ36" s="245"/>
      <c r="FK36" s="245"/>
      <c r="FL36" s="245"/>
      <c r="FM36" s="245"/>
      <c r="FN36" s="245"/>
      <c r="FO36" s="245"/>
      <c r="FP36" s="245"/>
      <c r="FQ36" s="245"/>
      <c r="FR36" s="245"/>
      <c r="FS36" s="245"/>
      <c r="FT36" s="245"/>
      <c r="FU36" s="245"/>
      <c r="FV36" s="245"/>
      <c r="FW36" s="245"/>
      <c r="FX36" s="245"/>
      <c r="FY36" s="245"/>
      <c r="FZ36" s="245"/>
      <c r="GA36" s="245"/>
      <c r="GB36" s="245"/>
      <c r="GC36" s="245"/>
      <c r="GD36" s="245"/>
      <c r="GE36" s="245"/>
      <c r="GF36" s="245"/>
      <c r="GG36" s="245"/>
      <c r="GH36" s="245"/>
      <c r="GI36" s="245"/>
      <c r="GJ36" s="245"/>
      <c r="GK36" s="245"/>
      <c r="GL36" s="245"/>
      <c r="GM36" s="245"/>
      <c r="GN36" s="245"/>
      <c r="GO36" s="245"/>
      <c r="GP36" s="245"/>
      <c r="GQ36" s="245"/>
      <c r="GR36" s="245"/>
      <c r="GS36" s="245"/>
      <c r="GT36" s="245"/>
    </row>
    <row r="37" spans="1:202" ht="12.75">
      <c r="A37" s="41"/>
      <c r="B37" s="10" t="s">
        <v>205</v>
      </c>
      <c r="C37" s="112">
        <v>3431</v>
      </c>
      <c r="D37" s="112">
        <v>3573</v>
      </c>
      <c r="E37" s="112">
        <v>3690</v>
      </c>
      <c r="F37" s="112">
        <v>3740</v>
      </c>
      <c r="G37" s="112">
        <v>3730</v>
      </c>
      <c r="H37" s="112">
        <v>3915</v>
      </c>
      <c r="I37" s="112">
        <v>3970</v>
      </c>
      <c r="J37" s="310">
        <v>3215</v>
      </c>
      <c r="L37" s="23">
        <v>0.721</v>
      </c>
      <c r="M37" s="23">
        <v>0.715</v>
      </c>
      <c r="N37" s="23">
        <v>0.704</v>
      </c>
      <c r="O37" s="23">
        <v>0.694</v>
      </c>
      <c r="P37" s="23">
        <v>0.683</v>
      </c>
      <c r="Q37" s="23">
        <v>0.676</v>
      </c>
      <c r="R37" s="192">
        <v>0.67</v>
      </c>
      <c r="S37" s="319">
        <v>0.4646306399492925</v>
      </c>
      <c r="T37" s="10"/>
      <c r="U37" s="112">
        <v>48</v>
      </c>
      <c r="V37" s="112">
        <v>142</v>
      </c>
      <c r="W37" s="112">
        <v>117</v>
      </c>
      <c r="X37" s="112">
        <v>50</v>
      </c>
      <c r="Y37" s="112">
        <v>-10</v>
      </c>
      <c r="Z37" s="112">
        <v>109</v>
      </c>
      <c r="AA37" s="269">
        <v>55</v>
      </c>
      <c r="AB37" s="322">
        <v>16</v>
      </c>
      <c r="AC37" s="11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5"/>
      <c r="BR37" s="245"/>
      <c r="BS37" s="245"/>
      <c r="BT37" s="245"/>
      <c r="BU37" s="245"/>
      <c r="BV37" s="245"/>
      <c r="BW37" s="245"/>
      <c r="BX37" s="245"/>
      <c r="BY37" s="245"/>
      <c r="BZ37" s="245"/>
      <c r="CA37" s="245"/>
      <c r="CB37" s="245"/>
      <c r="CC37" s="245"/>
      <c r="CD37" s="245"/>
      <c r="CE37" s="245"/>
      <c r="CF37" s="245"/>
      <c r="CG37" s="245"/>
      <c r="CH37" s="245"/>
      <c r="CI37" s="245"/>
      <c r="CJ37" s="245"/>
      <c r="CK37" s="245"/>
      <c r="CL37" s="245"/>
      <c r="CM37" s="245"/>
      <c r="CN37" s="245"/>
      <c r="CO37" s="245"/>
      <c r="CP37" s="245"/>
      <c r="CQ37" s="245"/>
      <c r="CR37" s="245"/>
      <c r="CS37" s="245"/>
      <c r="CT37" s="245"/>
      <c r="CU37" s="245"/>
      <c r="CV37" s="245"/>
      <c r="CW37" s="245"/>
      <c r="CX37" s="245"/>
      <c r="CY37" s="245"/>
      <c r="CZ37" s="245"/>
      <c r="DA37" s="245"/>
      <c r="DB37" s="245"/>
      <c r="DC37" s="245"/>
      <c r="DD37" s="245"/>
      <c r="DE37" s="245"/>
      <c r="DF37" s="245"/>
      <c r="DG37" s="245"/>
      <c r="DH37" s="245"/>
      <c r="DI37" s="245"/>
      <c r="DJ37" s="245"/>
      <c r="DK37" s="245"/>
      <c r="DL37" s="245"/>
      <c r="DM37" s="245"/>
      <c r="DN37" s="245"/>
      <c r="DO37" s="245"/>
      <c r="DP37" s="245"/>
      <c r="DQ37" s="245"/>
      <c r="DR37" s="245"/>
      <c r="DS37" s="245"/>
      <c r="DT37" s="245"/>
      <c r="DU37" s="245"/>
      <c r="DV37" s="245"/>
      <c r="DW37" s="245"/>
      <c r="DX37" s="245"/>
      <c r="DY37" s="245"/>
      <c r="DZ37" s="245"/>
      <c r="EA37" s="245"/>
      <c r="EB37" s="245"/>
      <c r="EC37" s="245"/>
      <c r="ED37" s="245"/>
      <c r="EE37" s="245"/>
      <c r="EF37" s="245"/>
      <c r="EG37" s="245"/>
      <c r="EH37" s="245"/>
      <c r="EI37" s="245"/>
      <c r="EJ37" s="245"/>
      <c r="EK37" s="245"/>
      <c r="EL37" s="245"/>
      <c r="EM37" s="245"/>
      <c r="EN37" s="245"/>
      <c r="EO37" s="245"/>
      <c r="EP37" s="245"/>
      <c r="EQ37" s="245"/>
      <c r="ER37" s="245"/>
      <c r="ES37" s="245"/>
      <c r="ET37" s="245"/>
      <c r="EU37" s="245"/>
      <c r="EV37" s="245"/>
      <c r="EW37" s="245"/>
      <c r="EX37" s="245"/>
      <c r="EY37" s="245"/>
      <c r="EZ37" s="245"/>
      <c r="FA37" s="245"/>
      <c r="FB37" s="245"/>
      <c r="FC37" s="245"/>
      <c r="FD37" s="245"/>
      <c r="FE37" s="245"/>
      <c r="FF37" s="245"/>
      <c r="FG37" s="245"/>
      <c r="FH37" s="245"/>
      <c r="FI37" s="245"/>
      <c r="FJ37" s="245"/>
      <c r="FK37" s="245"/>
      <c r="FL37" s="245"/>
      <c r="FM37" s="245"/>
      <c r="FN37" s="245"/>
      <c r="FO37" s="245"/>
      <c r="FP37" s="245"/>
      <c r="FQ37" s="245"/>
      <c r="FR37" s="245"/>
      <c r="FS37" s="245"/>
      <c r="FT37" s="245"/>
      <c r="FU37" s="245"/>
      <c r="FV37" s="245"/>
      <c r="FW37" s="245"/>
      <c r="FX37" s="245"/>
      <c r="FY37" s="245"/>
      <c r="FZ37" s="245"/>
      <c r="GA37" s="245"/>
      <c r="GB37" s="245"/>
      <c r="GC37" s="245"/>
      <c r="GD37" s="245"/>
      <c r="GE37" s="245"/>
      <c r="GF37" s="245"/>
      <c r="GG37" s="245"/>
      <c r="GH37" s="245"/>
      <c r="GI37" s="245"/>
      <c r="GJ37" s="245"/>
      <c r="GK37" s="245"/>
      <c r="GL37" s="245"/>
      <c r="GM37" s="245"/>
      <c r="GN37" s="245"/>
      <c r="GO37" s="245"/>
      <c r="GP37" s="245"/>
      <c r="GQ37" s="245"/>
      <c r="GR37" s="245"/>
      <c r="GS37" s="245"/>
      <c r="GT37" s="245"/>
    </row>
    <row r="38" spans="1:202" ht="12.75">
      <c r="A38" s="41"/>
      <c r="B38" s="10" t="s">
        <v>115</v>
      </c>
      <c r="C38" s="112">
        <v>12186</v>
      </c>
      <c r="D38" s="112">
        <v>13333</v>
      </c>
      <c r="E38" s="112">
        <v>14073</v>
      </c>
      <c r="F38" s="112">
        <v>15202</v>
      </c>
      <c r="G38" s="112">
        <v>16391</v>
      </c>
      <c r="H38" s="112">
        <v>17611</v>
      </c>
      <c r="I38" s="112">
        <v>18941</v>
      </c>
      <c r="J38" s="310">
        <v>20370</v>
      </c>
      <c r="L38" s="23">
        <v>0.951</v>
      </c>
      <c r="M38" s="23">
        <v>0.955</v>
      </c>
      <c r="N38" s="23">
        <v>0.955</v>
      </c>
      <c r="O38" s="23">
        <v>0.958</v>
      </c>
      <c r="P38" s="23">
        <v>0.96</v>
      </c>
      <c r="Q38" s="23">
        <v>0.96</v>
      </c>
      <c r="R38" s="192">
        <v>0.96</v>
      </c>
      <c r="S38" s="319">
        <v>0.9599024789297209</v>
      </c>
      <c r="T38" s="10"/>
      <c r="U38" s="112">
        <v>1203</v>
      </c>
      <c r="V38" s="112">
        <v>1147</v>
      </c>
      <c r="W38" s="112">
        <v>740</v>
      </c>
      <c r="X38" s="112">
        <v>1129</v>
      </c>
      <c r="Y38" s="112">
        <v>1189</v>
      </c>
      <c r="Z38" s="112">
        <v>1220</v>
      </c>
      <c r="AA38" s="269">
        <v>1330</v>
      </c>
      <c r="AB38" s="322">
        <v>1429</v>
      </c>
      <c r="AC38" s="11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5"/>
      <c r="CT38" s="245"/>
      <c r="CU38" s="245"/>
      <c r="CV38" s="245"/>
      <c r="CW38" s="245"/>
      <c r="CX38" s="245"/>
      <c r="CY38" s="245"/>
      <c r="CZ38" s="245"/>
      <c r="DA38" s="245"/>
      <c r="DB38" s="245"/>
      <c r="DC38" s="245"/>
      <c r="DD38" s="245"/>
      <c r="DE38" s="245"/>
      <c r="DF38" s="245"/>
      <c r="DG38" s="245"/>
      <c r="DH38" s="245"/>
      <c r="DI38" s="245"/>
      <c r="DJ38" s="245"/>
      <c r="DK38" s="245"/>
      <c r="DL38" s="245"/>
      <c r="DM38" s="245"/>
      <c r="DN38" s="245"/>
      <c r="DO38" s="245"/>
      <c r="DP38" s="245"/>
      <c r="DQ38" s="245"/>
      <c r="DR38" s="245"/>
      <c r="DS38" s="245"/>
      <c r="DT38" s="245"/>
      <c r="DU38" s="245"/>
      <c r="DV38" s="245"/>
      <c r="DW38" s="245"/>
      <c r="DX38" s="245"/>
      <c r="DY38" s="245"/>
      <c r="DZ38" s="245"/>
      <c r="EA38" s="245"/>
      <c r="EB38" s="245"/>
      <c r="EC38" s="245"/>
      <c r="ED38" s="245"/>
      <c r="EE38" s="245"/>
      <c r="EF38" s="245"/>
      <c r="EG38" s="245"/>
      <c r="EH38" s="245"/>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45"/>
      <c r="FV38" s="245"/>
      <c r="FW38" s="245"/>
      <c r="FX38" s="245"/>
      <c r="FY38" s="245"/>
      <c r="FZ38" s="245"/>
      <c r="GA38" s="245"/>
      <c r="GB38" s="245"/>
      <c r="GC38" s="245"/>
      <c r="GD38" s="245"/>
      <c r="GE38" s="245"/>
      <c r="GF38" s="245"/>
      <c r="GG38" s="245"/>
      <c r="GH38" s="245"/>
      <c r="GI38" s="245"/>
      <c r="GJ38" s="245"/>
      <c r="GK38" s="245"/>
      <c r="GL38" s="245"/>
      <c r="GM38" s="245"/>
      <c r="GN38" s="245"/>
      <c r="GO38" s="245"/>
      <c r="GP38" s="245"/>
      <c r="GQ38" s="245"/>
      <c r="GR38" s="245"/>
      <c r="GS38" s="245"/>
      <c r="GT38" s="245"/>
    </row>
    <row r="39" spans="1:202" ht="12.75">
      <c r="A39" s="41"/>
      <c r="B39" s="10" t="s">
        <v>206</v>
      </c>
      <c r="C39" s="112">
        <v>154</v>
      </c>
      <c r="D39" s="112">
        <v>186</v>
      </c>
      <c r="E39" s="112">
        <v>223</v>
      </c>
      <c r="F39" s="112">
        <v>297</v>
      </c>
      <c r="G39" s="112">
        <v>340</v>
      </c>
      <c r="H39" s="112">
        <v>364</v>
      </c>
      <c r="I39" s="112">
        <v>339</v>
      </c>
      <c r="J39" s="310">
        <v>334</v>
      </c>
      <c r="L39" s="23">
        <v>0.954</v>
      </c>
      <c r="M39" s="23">
        <v>0.956</v>
      </c>
      <c r="N39" s="23">
        <v>0.961</v>
      </c>
      <c r="O39" s="23">
        <v>0.969</v>
      </c>
      <c r="P39" s="23">
        <v>0.972</v>
      </c>
      <c r="Q39" s="23">
        <v>0.969</v>
      </c>
      <c r="R39" s="192">
        <v>0.964</v>
      </c>
      <c r="S39" s="319">
        <v>0.9615659667053988</v>
      </c>
      <c r="T39" s="10"/>
      <c r="U39" s="112">
        <v>8</v>
      </c>
      <c r="V39" s="112">
        <v>32</v>
      </c>
      <c r="W39" s="112">
        <v>37</v>
      </c>
      <c r="X39" s="112">
        <v>74</v>
      </c>
      <c r="Y39" s="112">
        <v>43</v>
      </c>
      <c r="Z39" s="112">
        <v>24</v>
      </c>
      <c r="AA39" s="269">
        <v>-25</v>
      </c>
      <c r="AB39" s="322">
        <v>-5</v>
      </c>
      <c r="AC39" s="11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5"/>
      <c r="BR39" s="245"/>
      <c r="BS39" s="245"/>
      <c r="BT39" s="245"/>
      <c r="BU39" s="245"/>
      <c r="BV39" s="245"/>
      <c r="BW39" s="245"/>
      <c r="BX39" s="245"/>
      <c r="BY39" s="245"/>
      <c r="BZ39" s="245"/>
      <c r="CA39" s="245"/>
      <c r="CB39" s="245"/>
      <c r="CC39" s="245"/>
      <c r="CD39" s="245"/>
      <c r="CE39" s="245"/>
      <c r="CF39" s="245"/>
      <c r="CG39" s="245"/>
      <c r="CH39" s="245"/>
      <c r="CI39" s="245"/>
      <c r="CJ39" s="245"/>
      <c r="CK39" s="245"/>
      <c r="CL39" s="245"/>
      <c r="CM39" s="245"/>
      <c r="CN39" s="245"/>
      <c r="CO39" s="245"/>
      <c r="CP39" s="245"/>
      <c r="CQ39" s="245"/>
      <c r="CR39" s="245"/>
      <c r="CS39" s="245"/>
      <c r="CT39" s="245"/>
      <c r="CU39" s="245"/>
      <c r="CV39" s="245"/>
      <c r="CW39" s="245"/>
      <c r="CX39" s="245"/>
      <c r="CY39" s="245"/>
      <c r="CZ39" s="245"/>
      <c r="DA39" s="245"/>
      <c r="DB39" s="245"/>
      <c r="DC39" s="245"/>
      <c r="DD39" s="245"/>
      <c r="DE39" s="245"/>
      <c r="DF39" s="245"/>
      <c r="DG39" s="245"/>
      <c r="DH39" s="245"/>
      <c r="DI39" s="245"/>
      <c r="DJ39" s="245"/>
      <c r="DK39" s="245"/>
      <c r="DL39" s="245"/>
      <c r="DM39" s="245"/>
      <c r="DN39" s="245"/>
      <c r="DO39" s="245"/>
      <c r="DP39" s="245"/>
      <c r="DQ39" s="245"/>
      <c r="DR39" s="245"/>
      <c r="DS39" s="245"/>
      <c r="DT39" s="245"/>
      <c r="DU39" s="245"/>
      <c r="DV39" s="245"/>
      <c r="DW39" s="245"/>
      <c r="DX39" s="245"/>
      <c r="DY39" s="245"/>
      <c r="DZ39" s="245"/>
      <c r="EA39" s="245"/>
      <c r="EB39" s="245"/>
      <c r="EC39" s="245"/>
      <c r="ED39" s="245"/>
      <c r="EE39" s="245"/>
      <c r="EF39" s="245"/>
      <c r="EG39" s="245"/>
      <c r="EH39" s="245"/>
      <c r="EI39" s="245"/>
      <c r="EJ39" s="245"/>
      <c r="EK39" s="245"/>
      <c r="EL39" s="245"/>
      <c r="EM39" s="245"/>
      <c r="EN39" s="245"/>
      <c r="EO39" s="245"/>
      <c r="EP39" s="245"/>
      <c r="EQ39" s="245"/>
      <c r="ER39" s="245"/>
      <c r="ES39" s="245"/>
      <c r="ET39" s="245"/>
      <c r="EU39" s="245"/>
      <c r="EV39" s="245"/>
      <c r="EW39" s="245"/>
      <c r="EX39" s="245"/>
      <c r="EY39" s="245"/>
      <c r="EZ39" s="245"/>
      <c r="FA39" s="245"/>
      <c r="FB39" s="245"/>
      <c r="FC39" s="245"/>
      <c r="FD39" s="245"/>
      <c r="FE39" s="245"/>
      <c r="FF39" s="245"/>
      <c r="FG39" s="245"/>
      <c r="FH39" s="245"/>
      <c r="FI39" s="245"/>
      <c r="FJ39" s="245"/>
      <c r="FK39" s="245"/>
      <c r="FL39" s="245"/>
      <c r="FM39" s="245"/>
      <c r="FN39" s="245"/>
      <c r="FO39" s="245"/>
      <c r="FP39" s="245"/>
      <c r="FQ39" s="245"/>
      <c r="FR39" s="245"/>
      <c r="FS39" s="245"/>
      <c r="FT39" s="245"/>
      <c r="FU39" s="245"/>
      <c r="FV39" s="245"/>
      <c r="FW39" s="245"/>
      <c r="FX39" s="245"/>
      <c r="FY39" s="245"/>
      <c r="FZ39" s="245"/>
      <c r="GA39" s="245"/>
      <c r="GB39" s="245"/>
      <c r="GC39" s="245"/>
      <c r="GD39" s="245"/>
      <c r="GE39" s="245"/>
      <c r="GF39" s="245"/>
      <c r="GG39" s="245"/>
      <c r="GH39" s="245"/>
      <c r="GI39" s="245"/>
      <c r="GJ39" s="245"/>
      <c r="GK39" s="245"/>
      <c r="GL39" s="245"/>
      <c r="GM39" s="245"/>
      <c r="GN39" s="245"/>
      <c r="GO39" s="245"/>
      <c r="GP39" s="245"/>
      <c r="GQ39" s="245"/>
      <c r="GR39" s="245"/>
      <c r="GS39" s="245"/>
      <c r="GT39" s="245"/>
    </row>
    <row r="40" spans="1:202" ht="12.75">
      <c r="A40" s="41"/>
      <c r="B40" s="10" t="s">
        <v>207</v>
      </c>
      <c r="C40" s="112">
        <v>2255</v>
      </c>
      <c r="D40" s="112">
        <v>2309</v>
      </c>
      <c r="E40" s="112">
        <v>2366</v>
      </c>
      <c r="F40" s="112">
        <v>2401</v>
      </c>
      <c r="G40" s="112">
        <v>2427</v>
      </c>
      <c r="H40" s="112">
        <v>2464</v>
      </c>
      <c r="I40" s="112">
        <v>2502</v>
      </c>
      <c r="J40" s="310">
        <v>2511</v>
      </c>
      <c r="L40" s="23">
        <v>0.742</v>
      </c>
      <c r="M40" s="23">
        <v>0.737</v>
      </c>
      <c r="N40" s="23">
        <v>0.738</v>
      </c>
      <c r="O40" s="23">
        <v>0.734</v>
      </c>
      <c r="P40" s="23">
        <v>0.725</v>
      </c>
      <c r="Q40" s="23">
        <v>0.721</v>
      </c>
      <c r="R40" s="192">
        <v>0.72</v>
      </c>
      <c r="S40" s="319">
        <v>0.7147694307575403</v>
      </c>
      <c r="T40" s="10"/>
      <c r="U40" s="112">
        <v>-13</v>
      </c>
      <c r="V40" s="112">
        <v>54</v>
      </c>
      <c r="W40" s="112">
        <v>57</v>
      </c>
      <c r="X40" s="112">
        <v>35</v>
      </c>
      <c r="Y40" s="112">
        <v>26</v>
      </c>
      <c r="Z40" s="112">
        <v>37</v>
      </c>
      <c r="AA40" s="269">
        <v>38</v>
      </c>
      <c r="AB40" s="322">
        <v>9</v>
      </c>
      <c r="AC40" s="11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5"/>
      <c r="BR40" s="245"/>
      <c r="BS40" s="245"/>
      <c r="BT40" s="245"/>
      <c r="BU40" s="245"/>
      <c r="BV40" s="245"/>
      <c r="BW40" s="245"/>
      <c r="BX40" s="245"/>
      <c r="BY40" s="245"/>
      <c r="BZ40" s="245"/>
      <c r="CA40" s="245"/>
      <c r="CB40" s="245"/>
      <c r="CC40" s="245"/>
      <c r="CD40" s="245"/>
      <c r="CE40" s="245"/>
      <c r="CF40" s="245"/>
      <c r="CG40" s="245"/>
      <c r="CH40" s="245"/>
      <c r="CI40" s="245"/>
      <c r="CJ40" s="245"/>
      <c r="CK40" s="245"/>
      <c r="CL40" s="245"/>
      <c r="CM40" s="245"/>
      <c r="CN40" s="245"/>
      <c r="CO40" s="245"/>
      <c r="CP40" s="245"/>
      <c r="CQ40" s="245"/>
      <c r="CR40" s="245"/>
      <c r="CS40" s="245"/>
      <c r="CT40" s="245"/>
      <c r="CU40" s="245"/>
      <c r="CV40" s="245"/>
      <c r="CW40" s="245"/>
      <c r="CX40" s="245"/>
      <c r="CY40" s="245"/>
      <c r="CZ40" s="245"/>
      <c r="DA40" s="245"/>
      <c r="DB40" s="245"/>
      <c r="DC40" s="245"/>
      <c r="DD40" s="245"/>
      <c r="DE40" s="245"/>
      <c r="DF40" s="245"/>
      <c r="DG40" s="245"/>
      <c r="DH40" s="245"/>
      <c r="DI40" s="245"/>
      <c r="DJ40" s="245"/>
      <c r="DK40" s="245"/>
      <c r="DL40" s="245"/>
      <c r="DM40" s="245"/>
      <c r="DN40" s="245"/>
      <c r="DO40" s="245"/>
      <c r="DP40" s="245"/>
      <c r="DQ40" s="245"/>
      <c r="DR40" s="245"/>
      <c r="DS40" s="245"/>
      <c r="DT40" s="245"/>
      <c r="DU40" s="245"/>
      <c r="DV40" s="245"/>
      <c r="DW40" s="245"/>
      <c r="DX40" s="245"/>
      <c r="DY40" s="245"/>
      <c r="DZ40" s="245"/>
      <c r="EA40" s="245"/>
      <c r="EB40" s="245"/>
      <c r="EC40" s="245"/>
      <c r="ED40" s="245"/>
      <c r="EE40" s="245"/>
      <c r="EF40" s="245"/>
      <c r="EG40" s="245"/>
      <c r="EH40" s="245"/>
      <c r="EI40" s="245"/>
      <c r="EJ40" s="245"/>
      <c r="EK40" s="245"/>
      <c r="EL40" s="245"/>
      <c r="EM40" s="245"/>
      <c r="EN40" s="245"/>
      <c r="EO40" s="245"/>
      <c r="EP40" s="245"/>
      <c r="EQ40" s="245"/>
      <c r="ER40" s="245"/>
      <c r="ES40" s="245"/>
      <c r="ET40" s="245"/>
      <c r="EU40" s="245"/>
      <c r="EV40" s="245"/>
      <c r="EW40" s="245"/>
      <c r="EX40" s="245"/>
      <c r="EY40" s="245"/>
      <c r="EZ40" s="245"/>
      <c r="FA40" s="245"/>
      <c r="FB40" s="245"/>
      <c r="FC40" s="245"/>
      <c r="FD40" s="245"/>
      <c r="FE40" s="245"/>
      <c r="FF40" s="245"/>
      <c r="FG40" s="245"/>
      <c r="FH40" s="245"/>
      <c r="FI40" s="245"/>
      <c r="FJ40" s="245"/>
      <c r="FK40" s="245"/>
      <c r="FL40" s="245"/>
      <c r="FM40" s="245"/>
      <c r="FN40" s="245"/>
      <c r="FO40" s="245"/>
      <c r="FP40" s="245"/>
      <c r="FQ40" s="245"/>
      <c r="FR40" s="245"/>
      <c r="FS40" s="245"/>
      <c r="FT40" s="245"/>
      <c r="FU40" s="245"/>
      <c r="FV40" s="245"/>
      <c r="FW40" s="245"/>
      <c r="FX40" s="245"/>
      <c r="FY40" s="245"/>
      <c r="FZ40" s="245"/>
      <c r="GA40" s="245"/>
      <c r="GB40" s="245"/>
      <c r="GC40" s="245"/>
      <c r="GD40" s="245"/>
      <c r="GE40" s="245"/>
      <c r="GF40" s="245"/>
      <c r="GG40" s="245"/>
      <c r="GH40" s="245"/>
      <c r="GI40" s="245"/>
      <c r="GJ40" s="245"/>
      <c r="GK40" s="245"/>
      <c r="GL40" s="245"/>
      <c r="GM40" s="245"/>
      <c r="GN40" s="245"/>
      <c r="GO40" s="245"/>
      <c r="GP40" s="245"/>
      <c r="GQ40" s="245"/>
      <c r="GR40" s="245"/>
      <c r="GS40" s="245"/>
      <c r="GT40" s="245"/>
    </row>
    <row r="41" spans="1:202" ht="12.75">
      <c r="A41" s="41"/>
      <c r="B41" s="10" t="s">
        <v>209</v>
      </c>
      <c r="C41" s="112">
        <v>0</v>
      </c>
      <c r="D41" s="112">
        <v>0</v>
      </c>
      <c r="E41" s="112">
        <v>0</v>
      </c>
      <c r="F41" s="112">
        <v>0</v>
      </c>
      <c r="G41" s="112">
        <v>0</v>
      </c>
      <c r="H41" s="112">
        <v>0</v>
      </c>
      <c r="I41" s="112">
        <v>1</v>
      </c>
      <c r="J41" s="310">
        <v>15</v>
      </c>
      <c r="L41" s="112">
        <v>0</v>
      </c>
      <c r="M41" s="112">
        <v>0</v>
      </c>
      <c r="N41" s="112">
        <v>0</v>
      </c>
      <c r="O41" s="112">
        <v>0</v>
      </c>
      <c r="P41" s="112">
        <v>0</v>
      </c>
      <c r="Q41" s="112">
        <v>0</v>
      </c>
      <c r="R41" s="192">
        <v>0.002</v>
      </c>
      <c r="S41" s="310">
        <v>0</v>
      </c>
      <c r="T41" s="10"/>
      <c r="U41" s="112">
        <v>0</v>
      </c>
      <c r="V41" s="112">
        <v>0</v>
      </c>
      <c r="W41" s="112">
        <v>0</v>
      </c>
      <c r="X41" s="112">
        <v>0</v>
      </c>
      <c r="Y41" s="112">
        <v>0</v>
      </c>
      <c r="Z41" s="112">
        <v>0</v>
      </c>
      <c r="AA41" s="269">
        <v>1</v>
      </c>
      <c r="AB41" s="322">
        <v>14</v>
      </c>
      <c r="AC41" s="11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5"/>
      <c r="DE41" s="245"/>
      <c r="DF41" s="245"/>
      <c r="DG41" s="245"/>
      <c r="DH41" s="245"/>
      <c r="DI41" s="245"/>
      <c r="DJ41" s="245"/>
      <c r="DK41" s="245"/>
      <c r="DL41" s="245"/>
      <c r="DM41" s="245"/>
      <c r="DN41" s="245"/>
      <c r="DO41" s="245"/>
      <c r="DP41" s="245"/>
      <c r="DQ41" s="245"/>
      <c r="DR41" s="245"/>
      <c r="DS41" s="245"/>
      <c r="DT41" s="245"/>
      <c r="DU41" s="245"/>
      <c r="DV41" s="245"/>
      <c r="DW41" s="245"/>
      <c r="DX41" s="245"/>
      <c r="DY41" s="245"/>
      <c r="DZ41" s="245"/>
      <c r="EA41" s="245"/>
      <c r="EB41" s="245"/>
      <c r="EC41" s="245"/>
      <c r="ED41" s="245"/>
      <c r="EE41" s="245"/>
      <c r="EF41" s="245"/>
      <c r="EG41" s="245"/>
      <c r="EH41" s="245"/>
      <c r="EI41" s="245"/>
      <c r="EJ41" s="245"/>
      <c r="EK41" s="245"/>
      <c r="EL41" s="245"/>
      <c r="EM41" s="245"/>
      <c r="EN41" s="245"/>
      <c r="EO41" s="245"/>
      <c r="EP41" s="245"/>
      <c r="EQ41" s="245"/>
      <c r="ER41" s="245"/>
      <c r="ES41" s="245"/>
      <c r="ET41" s="245"/>
      <c r="EU41" s="245"/>
      <c r="EV41" s="245"/>
      <c r="EW41" s="245"/>
      <c r="EX41" s="245"/>
      <c r="EY41" s="245"/>
      <c r="EZ41" s="245"/>
      <c r="FA41" s="245"/>
      <c r="FB41" s="245"/>
      <c r="FC41" s="245"/>
      <c r="FD41" s="245"/>
      <c r="FE41" s="245"/>
      <c r="FF41" s="245"/>
      <c r="FG41" s="245"/>
      <c r="FH41" s="245"/>
      <c r="FI41" s="245"/>
      <c r="FJ41" s="245"/>
      <c r="FK41" s="245"/>
      <c r="FL41" s="245"/>
      <c r="FM41" s="245"/>
      <c r="FN41" s="245"/>
      <c r="FO41" s="245"/>
      <c r="FP41" s="245"/>
      <c r="FQ41" s="245"/>
      <c r="FR41" s="245"/>
      <c r="FS41" s="245"/>
      <c r="FT41" s="245"/>
      <c r="FU41" s="245"/>
      <c r="FV41" s="245"/>
      <c r="FW41" s="245"/>
      <c r="FX41" s="245"/>
      <c r="FY41" s="245"/>
      <c r="FZ41" s="245"/>
      <c r="GA41" s="245"/>
      <c r="GB41" s="245"/>
      <c r="GC41" s="245"/>
      <c r="GD41" s="245"/>
      <c r="GE41" s="245"/>
      <c r="GF41" s="245"/>
      <c r="GG41" s="245"/>
      <c r="GH41" s="245"/>
      <c r="GI41" s="245"/>
      <c r="GJ41" s="245"/>
      <c r="GK41" s="245"/>
      <c r="GL41" s="245"/>
      <c r="GM41" s="245"/>
      <c r="GN41" s="245"/>
      <c r="GO41" s="245"/>
      <c r="GP41" s="245"/>
      <c r="GQ41" s="245"/>
      <c r="GR41" s="245"/>
      <c r="GS41" s="245"/>
      <c r="GT41" s="245"/>
    </row>
    <row r="42" spans="3:202" s="41" customFormat="1" ht="12.75">
      <c r="C42" s="123">
        <v>53684</v>
      </c>
      <c r="D42" s="123">
        <v>59266</v>
      </c>
      <c r="E42" s="123">
        <v>64478</v>
      </c>
      <c r="F42" s="123">
        <v>70835</v>
      </c>
      <c r="G42" s="123">
        <v>77513</v>
      </c>
      <c r="H42" s="123">
        <v>85287</v>
      </c>
      <c r="I42" s="123">
        <v>94522</v>
      </c>
      <c r="J42" s="121">
        <v>102895</v>
      </c>
      <c r="L42" s="314">
        <v>0.887</v>
      </c>
      <c r="M42" s="314">
        <v>0.893</v>
      </c>
      <c r="N42" s="314">
        <v>0.897</v>
      </c>
      <c r="O42" s="314">
        <v>0.903</v>
      </c>
      <c r="P42" s="314">
        <v>0.908</v>
      </c>
      <c r="Q42" s="314">
        <v>0.912</v>
      </c>
      <c r="R42" s="315">
        <v>0.917</v>
      </c>
      <c r="S42" s="268">
        <v>0.9037666492742276</v>
      </c>
      <c r="U42" s="123">
        <v>6152</v>
      </c>
      <c r="V42" s="123">
        <v>5582</v>
      </c>
      <c r="W42" s="123">
        <v>5212</v>
      </c>
      <c r="X42" s="123">
        <v>6357</v>
      </c>
      <c r="Y42" s="123">
        <v>6678</v>
      </c>
      <c r="Z42" s="123">
        <v>7698</v>
      </c>
      <c r="AA42" s="279">
        <f>SUM(AA36:AA41)</f>
        <v>9235</v>
      </c>
      <c r="AB42" s="275">
        <f>SUM(AB36:AB41)</f>
        <v>9144</v>
      </c>
      <c r="AC42" s="116"/>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c r="DV42" s="245"/>
      <c r="DW42" s="245"/>
      <c r="DX42" s="245"/>
      <c r="DY42" s="245"/>
      <c r="DZ42" s="245"/>
      <c r="EA42" s="245"/>
      <c r="EB42" s="245"/>
      <c r="EC42" s="245"/>
      <c r="ED42" s="245"/>
      <c r="EE42" s="245"/>
      <c r="EF42" s="245"/>
      <c r="EG42" s="245"/>
      <c r="EH42" s="245"/>
      <c r="EI42" s="245"/>
      <c r="EJ42" s="245"/>
      <c r="EK42" s="245"/>
      <c r="EL42" s="245"/>
      <c r="EM42" s="245"/>
      <c r="EN42" s="245"/>
      <c r="EO42" s="245"/>
      <c r="EP42" s="245"/>
      <c r="EQ42" s="245"/>
      <c r="ER42" s="245"/>
      <c r="ES42" s="245"/>
      <c r="ET42" s="245"/>
      <c r="EU42" s="245"/>
      <c r="EV42" s="245"/>
      <c r="EW42" s="245"/>
      <c r="EX42" s="245"/>
      <c r="EY42" s="245"/>
      <c r="EZ42" s="245"/>
      <c r="FA42" s="245"/>
      <c r="FB42" s="245"/>
      <c r="FC42" s="245"/>
      <c r="FD42" s="245"/>
      <c r="FE42" s="245"/>
      <c r="FF42" s="245"/>
      <c r="FG42" s="245"/>
      <c r="FH42" s="245"/>
      <c r="FI42" s="245"/>
      <c r="FJ42" s="245"/>
      <c r="FK42" s="245"/>
      <c r="FL42" s="245"/>
      <c r="FM42" s="245"/>
      <c r="FN42" s="245"/>
      <c r="FO42" s="245"/>
      <c r="FP42" s="245"/>
      <c r="FQ42" s="245"/>
      <c r="FR42" s="245"/>
      <c r="FS42" s="245"/>
      <c r="FT42" s="245"/>
      <c r="FU42" s="245"/>
      <c r="FV42" s="245"/>
      <c r="FW42" s="245"/>
      <c r="FX42" s="245"/>
      <c r="FY42" s="245"/>
      <c r="FZ42" s="245"/>
      <c r="GA42" s="245"/>
      <c r="GB42" s="245"/>
      <c r="GC42" s="245"/>
      <c r="GD42" s="245"/>
      <c r="GE42" s="245"/>
      <c r="GF42" s="245"/>
      <c r="GG42" s="245"/>
      <c r="GH42" s="245"/>
      <c r="GI42" s="245"/>
      <c r="GJ42" s="245"/>
      <c r="GK42" s="245"/>
      <c r="GL42" s="245"/>
      <c r="GM42" s="245"/>
      <c r="GN42" s="245"/>
      <c r="GO42" s="245"/>
      <c r="GP42" s="245"/>
      <c r="GQ42" s="245"/>
      <c r="GR42" s="245"/>
      <c r="GS42" s="245"/>
      <c r="GT42" s="245"/>
    </row>
    <row r="43" spans="1:202" ht="12.75">
      <c r="A43" s="41"/>
      <c r="C43" s="115"/>
      <c r="D43" s="115"/>
      <c r="E43" s="115"/>
      <c r="F43" s="115"/>
      <c r="G43" s="115"/>
      <c r="H43" s="115"/>
      <c r="I43" s="115"/>
      <c r="J43" s="116"/>
      <c r="L43" s="23"/>
      <c r="M43" s="23"/>
      <c r="N43" s="23"/>
      <c r="O43" s="23"/>
      <c r="P43" s="23"/>
      <c r="Q43" s="23"/>
      <c r="R43" s="192"/>
      <c r="S43" s="192"/>
      <c r="T43" s="10"/>
      <c r="U43" s="112"/>
      <c r="V43" s="112"/>
      <c r="W43" s="112"/>
      <c r="X43" s="112"/>
      <c r="Y43" s="112"/>
      <c r="Z43" s="112"/>
      <c r="AA43" s="269"/>
      <c r="AB43" s="269"/>
      <c r="AC43" s="11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c r="DM43" s="245"/>
      <c r="DN43" s="245"/>
      <c r="DO43" s="245"/>
      <c r="DP43" s="245"/>
      <c r="DQ43" s="245"/>
      <c r="DR43" s="245"/>
      <c r="DS43" s="245"/>
      <c r="DT43" s="245"/>
      <c r="DU43" s="245"/>
      <c r="DV43" s="245"/>
      <c r="DW43" s="245"/>
      <c r="DX43" s="245"/>
      <c r="DY43" s="245"/>
      <c r="DZ43" s="245"/>
      <c r="EA43" s="245"/>
      <c r="EB43" s="245"/>
      <c r="EC43" s="245"/>
      <c r="ED43" s="245"/>
      <c r="EE43" s="245"/>
      <c r="EF43" s="245"/>
      <c r="EG43" s="245"/>
      <c r="EH43" s="245"/>
      <c r="EI43" s="245"/>
      <c r="EJ43" s="245"/>
      <c r="EK43" s="245"/>
      <c r="EL43" s="245"/>
      <c r="EM43" s="245"/>
      <c r="EN43" s="245"/>
      <c r="EO43" s="245"/>
      <c r="EP43" s="245"/>
      <c r="EQ43" s="245"/>
      <c r="ER43" s="245"/>
      <c r="ES43" s="245"/>
      <c r="ET43" s="245"/>
      <c r="EU43" s="245"/>
      <c r="EV43" s="245"/>
      <c r="EW43" s="245"/>
      <c r="EX43" s="245"/>
      <c r="EY43" s="245"/>
      <c r="EZ43" s="245"/>
      <c r="FA43" s="245"/>
      <c r="FB43" s="245"/>
      <c r="FC43" s="245"/>
      <c r="FD43" s="245"/>
      <c r="FE43" s="245"/>
      <c r="FF43" s="245"/>
      <c r="FG43" s="245"/>
      <c r="FH43" s="245"/>
      <c r="FI43" s="245"/>
      <c r="FJ43" s="245"/>
      <c r="FK43" s="245"/>
      <c r="FL43" s="245"/>
      <c r="FM43" s="245"/>
      <c r="FN43" s="245"/>
      <c r="FO43" s="245"/>
      <c r="FP43" s="245"/>
      <c r="FQ43" s="245"/>
      <c r="FR43" s="245"/>
      <c r="FS43" s="245"/>
      <c r="FT43" s="245"/>
      <c r="FU43" s="245"/>
      <c r="FV43" s="245"/>
      <c r="FW43" s="245"/>
      <c r="FX43" s="245"/>
      <c r="FY43" s="245"/>
      <c r="FZ43" s="245"/>
      <c r="GA43" s="245"/>
      <c r="GB43" s="245"/>
      <c r="GC43" s="245"/>
      <c r="GD43" s="245"/>
      <c r="GE43" s="245"/>
      <c r="GF43" s="245"/>
      <c r="GG43" s="245"/>
      <c r="GH43" s="245"/>
      <c r="GI43" s="245"/>
      <c r="GJ43" s="245"/>
      <c r="GK43" s="245"/>
      <c r="GL43" s="245"/>
      <c r="GM43" s="245"/>
      <c r="GN43" s="245"/>
      <c r="GO43" s="245"/>
      <c r="GP43" s="245"/>
      <c r="GQ43" s="245"/>
      <c r="GR43" s="245"/>
      <c r="GS43" s="245"/>
      <c r="GT43" s="245"/>
    </row>
    <row r="44" spans="1:202" ht="13.5" thickBot="1">
      <c r="A44" s="41" t="s">
        <v>20</v>
      </c>
      <c r="C44" s="309">
        <v>210413</v>
      </c>
      <c r="D44" s="309">
        <v>221157</v>
      </c>
      <c r="E44" s="309">
        <v>229686</v>
      </c>
      <c r="F44" s="309">
        <v>234410</v>
      </c>
      <c r="G44" s="309">
        <v>245611</v>
      </c>
      <c r="H44" s="309">
        <v>255738</v>
      </c>
      <c r="I44" s="309">
        <v>264156</v>
      </c>
      <c r="J44" s="114">
        <v>293537</v>
      </c>
      <c r="L44" s="316">
        <v>0.756</v>
      </c>
      <c r="M44" s="316">
        <v>0.759</v>
      </c>
      <c r="N44" s="316">
        <v>0.76</v>
      </c>
      <c r="O44" s="316">
        <v>0.762</v>
      </c>
      <c r="P44" s="316">
        <v>0.767</v>
      </c>
      <c r="Q44" s="316">
        <v>0.77</v>
      </c>
      <c r="R44" s="317">
        <v>0.775</v>
      </c>
      <c r="S44" s="270">
        <v>0.764893835526742</v>
      </c>
      <c r="T44" s="10"/>
      <c r="U44" s="309">
        <v>12004</v>
      </c>
      <c r="V44" s="309">
        <v>10744</v>
      </c>
      <c r="W44" s="309">
        <v>8529</v>
      </c>
      <c r="X44" s="309">
        <v>9057</v>
      </c>
      <c r="Y44" s="309">
        <v>9572</v>
      </c>
      <c r="Z44" s="309">
        <v>9735</v>
      </c>
      <c r="AA44" s="320">
        <f>AA42+AA33+AA21</f>
        <v>8418</v>
      </c>
      <c r="AB44" s="278">
        <f>AB42+AB33+AB21</f>
        <v>9959</v>
      </c>
      <c r="AC44" s="116"/>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5"/>
      <c r="BR44" s="245"/>
      <c r="BS44" s="245"/>
      <c r="BT44" s="245"/>
      <c r="BU44" s="245"/>
      <c r="BV44" s="245"/>
      <c r="BW44" s="245"/>
      <c r="BX44" s="245"/>
      <c r="BY44" s="245"/>
      <c r="BZ44" s="245"/>
      <c r="CA44" s="245"/>
      <c r="CB44" s="245"/>
      <c r="CC44" s="245"/>
      <c r="CD44" s="245"/>
      <c r="CE44" s="245"/>
      <c r="CF44" s="245"/>
      <c r="CG44" s="245"/>
      <c r="CH44" s="245"/>
      <c r="CI44" s="245"/>
      <c r="CJ44" s="245"/>
      <c r="CK44" s="245"/>
      <c r="CL44" s="245"/>
      <c r="CM44" s="245"/>
      <c r="CN44" s="245"/>
      <c r="CO44" s="245"/>
      <c r="CP44" s="245"/>
      <c r="CQ44" s="245"/>
      <c r="CR44" s="245"/>
      <c r="CS44" s="245"/>
      <c r="CT44" s="245"/>
      <c r="CU44" s="245"/>
      <c r="CV44" s="245"/>
      <c r="CW44" s="245"/>
      <c r="CX44" s="245"/>
      <c r="CY44" s="245"/>
      <c r="CZ44" s="245"/>
      <c r="DA44" s="245"/>
      <c r="DB44" s="245"/>
      <c r="DC44" s="245"/>
      <c r="DD44" s="245"/>
      <c r="DE44" s="245"/>
      <c r="DF44" s="245"/>
      <c r="DG44" s="245"/>
      <c r="DH44" s="245"/>
      <c r="DI44" s="245"/>
      <c r="DJ44" s="245"/>
      <c r="DK44" s="245"/>
      <c r="DL44" s="245"/>
      <c r="DM44" s="245"/>
      <c r="DN44" s="245"/>
      <c r="DO44" s="245"/>
      <c r="DP44" s="245"/>
      <c r="DQ44" s="245"/>
      <c r="DR44" s="245"/>
      <c r="DS44" s="245"/>
      <c r="DT44" s="245"/>
      <c r="DU44" s="245"/>
      <c r="DV44" s="245"/>
      <c r="DW44" s="245"/>
      <c r="DX44" s="245"/>
      <c r="DY44" s="245"/>
      <c r="DZ44" s="245"/>
      <c r="EA44" s="245"/>
      <c r="EB44" s="245"/>
      <c r="EC44" s="245"/>
      <c r="ED44" s="245"/>
      <c r="EE44" s="245"/>
      <c r="EF44" s="245"/>
      <c r="EG44" s="245"/>
      <c r="EH44" s="245"/>
      <c r="EI44" s="245"/>
      <c r="EJ44" s="245"/>
      <c r="EK44" s="245"/>
      <c r="EL44" s="245"/>
      <c r="EM44" s="245"/>
      <c r="EN44" s="245"/>
      <c r="EO44" s="245"/>
      <c r="EP44" s="245"/>
      <c r="EQ44" s="245"/>
      <c r="ER44" s="245"/>
      <c r="ES44" s="245"/>
      <c r="ET44" s="245"/>
      <c r="EU44" s="245"/>
      <c r="EV44" s="245"/>
      <c r="EW44" s="245"/>
      <c r="EX44" s="245"/>
      <c r="EY44" s="245"/>
      <c r="EZ44" s="245"/>
      <c r="FA44" s="245"/>
      <c r="FB44" s="245"/>
      <c r="FC44" s="245"/>
      <c r="FD44" s="245"/>
      <c r="FE44" s="245"/>
      <c r="FF44" s="245"/>
      <c r="FG44" s="245"/>
      <c r="FH44" s="245"/>
      <c r="FI44" s="245"/>
      <c r="FJ44" s="245"/>
      <c r="FK44" s="245"/>
      <c r="FL44" s="245"/>
      <c r="FM44" s="245"/>
      <c r="FN44" s="245"/>
      <c r="FO44" s="245"/>
      <c r="FP44" s="245"/>
      <c r="FQ44" s="245"/>
      <c r="FR44" s="245"/>
      <c r="FS44" s="245"/>
      <c r="FT44" s="245"/>
      <c r="FU44" s="245"/>
      <c r="FV44" s="245"/>
      <c r="FW44" s="245"/>
      <c r="FX44" s="245"/>
      <c r="FY44" s="245"/>
      <c r="FZ44" s="245"/>
      <c r="GA44" s="245"/>
      <c r="GB44" s="245"/>
      <c r="GC44" s="245"/>
      <c r="GD44" s="245"/>
      <c r="GE44" s="245"/>
      <c r="GF44" s="245"/>
      <c r="GG44" s="245"/>
      <c r="GH44" s="245"/>
      <c r="GI44" s="245"/>
      <c r="GJ44" s="245"/>
      <c r="GK44" s="245"/>
      <c r="GL44" s="245"/>
      <c r="GM44" s="245"/>
      <c r="GN44" s="245"/>
      <c r="GO44" s="245"/>
      <c r="GP44" s="245"/>
      <c r="GQ44" s="245"/>
      <c r="GR44" s="245"/>
      <c r="GS44" s="245"/>
      <c r="GT44" s="245"/>
    </row>
    <row r="45" spans="1:202" ht="13.5" thickTop="1">
      <c r="A45" s="41"/>
      <c r="C45" s="251"/>
      <c r="D45" s="251"/>
      <c r="E45" s="251"/>
      <c r="F45" s="251"/>
      <c r="G45" s="251"/>
      <c r="H45" s="251"/>
      <c r="I45" s="251"/>
      <c r="J45" s="312"/>
      <c r="L45" s="23"/>
      <c r="M45" s="23"/>
      <c r="N45" s="23"/>
      <c r="O45" s="23"/>
      <c r="P45" s="23"/>
      <c r="Q45" s="23"/>
      <c r="R45" s="192"/>
      <c r="S45" s="192"/>
      <c r="T45" s="10"/>
      <c r="U45" s="112"/>
      <c r="V45" s="112"/>
      <c r="W45" s="112"/>
      <c r="X45" s="112"/>
      <c r="Y45" s="112"/>
      <c r="Z45" s="112"/>
      <c r="AA45" s="269"/>
      <c r="AB45" s="269"/>
      <c r="AC45" s="11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5"/>
      <c r="BR45" s="245"/>
      <c r="BS45" s="245"/>
      <c r="BT45" s="245"/>
      <c r="BU45" s="245"/>
      <c r="BV45" s="245"/>
      <c r="BW45" s="245"/>
      <c r="BX45" s="245"/>
      <c r="BY45" s="245"/>
      <c r="BZ45" s="245"/>
      <c r="CA45" s="245"/>
      <c r="CB45" s="245"/>
      <c r="CC45" s="245"/>
      <c r="CD45" s="245"/>
      <c r="CE45" s="245"/>
      <c r="CF45" s="245"/>
      <c r="CG45" s="245"/>
      <c r="CH45" s="245"/>
      <c r="CI45" s="245"/>
      <c r="CJ45" s="245"/>
      <c r="CK45" s="245"/>
      <c r="CL45" s="245"/>
      <c r="CM45" s="245"/>
      <c r="CN45" s="245"/>
      <c r="CO45" s="245"/>
      <c r="CP45" s="245"/>
      <c r="CQ45" s="245"/>
      <c r="CR45" s="245"/>
      <c r="CS45" s="245"/>
      <c r="CT45" s="245"/>
      <c r="CU45" s="245"/>
      <c r="CV45" s="245"/>
      <c r="CW45" s="245"/>
      <c r="CX45" s="245"/>
      <c r="CY45" s="245"/>
      <c r="CZ45" s="245"/>
      <c r="DA45" s="245"/>
      <c r="DB45" s="245"/>
      <c r="DC45" s="245"/>
      <c r="DD45" s="245"/>
      <c r="DE45" s="245"/>
      <c r="DF45" s="245"/>
      <c r="DG45" s="245"/>
      <c r="DH45" s="245"/>
      <c r="DI45" s="245"/>
      <c r="DJ45" s="245"/>
      <c r="DK45" s="245"/>
      <c r="DL45" s="245"/>
      <c r="DM45" s="245"/>
      <c r="DN45" s="245"/>
      <c r="DO45" s="245"/>
      <c r="DP45" s="245"/>
      <c r="DQ45" s="245"/>
      <c r="DR45" s="245"/>
      <c r="DS45" s="245"/>
      <c r="DT45" s="245"/>
      <c r="DU45" s="245"/>
      <c r="DV45" s="245"/>
      <c r="DW45" s="245"/>
      <c r="DX45" s="245"/>
      <c r="DY45" s="245"/>
      <c r="DZ45" s="245"/>
      <c r="EA45" s="245"/>
      <c r="EB45" s="245"/>
      <c r="EC45" s="245"/>
      <c r="ED45" s="245"/>
      <c r="EE45" s="245"/>
      <c r="EF45" s="245"/>
      <c r="EG45" s="245"/>
      <c r="EH45" s="245"/>
      <c r="EI45" s="245"/>
      <c r="EJ45" s="245"/>
      <c r="EK45" s="245"/>
      <c r="EL45" s="245"/>
      <c r="EM45" s="245"/>
      <c r="EN45" s="245"/>
      <c r="EO45" s="245"/>
      <c r="EP45" s="245"/>
      <c r="EQ45" s="245"/>
      <c r="ER45" s="245"/>
      <c r="ES45" s="245"/>
      <c r="ET45" s="245"/>
      <c r="EU45" s="245"/>
      <c r="EV45" s="245"/>
      <c r="EW45" s="245"/>
      <c r="EX45" s="245"/>
      <c r="EY45" s="245"/>
      <c r="EZ45" s="245"/>
      <c r="FA45" s="245"/>
      <c r="FB45" s="245"/>
      <c r="FC45" s="245"/>
      <c r="FD45" s="245"/>
      <c r="FE45" s="245"/>
      <c r="FF45" s="245"/>
      <c r="FG45" s="245"/>
      <c r="FH45" s="245"/>
      <c r="FI45" s="245"/>
      <c r="FJ45" s="245"/>
      <c r="FK45" s="245"/>
      <c r="FL45" s="245"/>
      <c r="FM45" s="245"/>
      <c r="FN45" s="245"/>
      <c r="FO45" s="245"/>
      <c r="FP45" s="245"/>
      <c r="FQ45" s="245"/>
      <c r="FR45" s="245"/>
      <c r="FS45" s="245"/>
      <c r="FT45" s="245"/>
      <c r="FU45" s="245"/>
      <c r="FV45" s="245"/>
      <c r="FW45" s="245"/>
      <c r="FX45" s="245"/>
      <c r="FY45" s="245"/>
      <c r="FZ45" s="245"/>
      <c r="GA45" s="245"/>
      <c r="GB45" s="245"/>
      <c r="GC45" s="245"/>
      <c r="GD45" s="245"/>
      <c r="GE45" s="245"/>
      <c r="GF45" s="245"/>
      <c r="GG45" s="245"/>
      <c r="GH45" s="245"/>
      <c r="GI45" s="245"/>
      <c r="GJ45" s="245"/>
      <c r="GK45" s="245"/>
      <c r="GL45" s="245"/>
      <c r="GM45" s="245"/>
      <c r="GN45" s="245"/>
      <c r="GO45" s="245"/>
      <c r="GP45" s="245"/>
      <c r="GQ45" s="245"/>
      <c r="GR45" s="245"/>
      <c r="GS45" s="245"/>
      <c r="GT45" s="245"/>
    </row>
    <row r="46" spans="1:202" ht="12.75">
      <c r="A46" s="41" t="s">
        <v>117</v>
      </c>
      <c r="C46" s="251"/>
      <c r="D46" s="251"/>
      <c r="E46" s="251"/>
      <c r="F46" s="251"/>
      <c r="G46" s="251"/>
      <c r="H46" s="251"/>
      <c r="I46" s="251"/>
      <c r="J46" s="312"/>
      <c r="L46" s="23"/>
      <c r="M46" s="23"/>
      <c r="N46" s="23"/>
      <c r="O46" s="23"/>
      <c r="P46" s="23"/>
      <c r="Q46" s="23"/>
      <c r="R46" s="192"/>
      <c r="S46" s="192"/>
      <c r="T46" s="10"/>
      <c r="U46" s="112"/>
      <c r="V46" s="112"/>
      <c r="W46" s="112"/>
      <c r="X46" s="112"/>
      <c r="Y46" s="112"/>
      <c r="Z46" s="112"/>
      <c r="AA46" s="269"/>
      <c r="AB46" s="269"/>
      <c r="AC46" s="11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5"/>
      <c r="BR46" s="245"/>
      <c r="BS46" s="245"/>
      <c r="BT46" s="245"/>
      <c r="BU46" s="245"/>
      <c r="BV46" s="245"/>
      <c r="BW46" s="245"/>
      <c r="BX46" s="245"/>
      <c r="BY46" s="245"/>
      <c r="BZ46" s="245"/>
      <c r="CA46" s="245"/>
      <c r="CB46" s="245"/>
      <c r="CC46" s="245"/>
      <c r="CD46" s="245"/>
      <c r="CE46" s="245"/>
      <c r="CF46" s="245"/>
      <c r="CG46" s="245"/>
      <c r="CH46" s="245"/>
      <c r="CI46" s="245"/>
      <c r="CJ46" s="245"/>
      <c r="CK46" s="245"/>
      <c r="CL46" s="245"/>
      <c r="CM46" s="245"/>
      <c r="CN46" s="245"/>
      <c r="CO46" s="245"/>
      <c r="CP46" s="245"/>
      <c r="CQ46" s="245"/>
      <c r="CR46" s="245"/>
      <c r="CS46" s="245"/>
      <c r="CT46" s="245"/>
      <c r="CU46" s="245"/>
      <c r="CV46" s="245"/>
      <c r="CW46" s="245"/>
      <c r="CX46" s="245"/>
      <c r="CY46" s="245"/>
      <c r="CZ46" s="245"/>
      <c r="DA46" s="245"/>
      <c r="DB46" s="245"/>
      <c r="DC46" s="245"/>
      <c r="DD46" s="245"/>
      <c r="DE46" s="245"/>
      <c r="DF46" s="245"/>
      <c r="DG46" s="245"/>
      <c r="DH46" s="245"/>
      <c r="DI46" s="245"/>
      <c r="DJ46" s="245"/>
      <c r="DK46" s="245"/>
      <c r="DL46" s="245"/>
      <c r="DM46" s="245"/>
      <c r="DN46" s="245"/>
      <c r="DO46" s="245"/>
      <c r="DP46" s="245"/>
      <c r="DQ46" s="245"/>
      <c r="DR46" s="245"/>
      <c r="DS46" s="245"/>
      <c r="DT46" s="245"/>
      <c r="DU46" s="245"/>
      <c r="DV46" s="245"/>
      <c r="DW46" s="245"/>
      <c r="DX46" s="245"/>
      <c r="DY46" s="245"/>
      <c r="DZ46" s="245"/>
      <c r="EA46" s="245"/>
      <c r="EB46" s="245"/>
      <c r="EC46" s="245"/>
      <c r="ED46" s="245"/>
      <c r="EE46" s="245"/>
      <c r="EF46" s="245"/>
      <c r="EG46" s="245"/>
      <c r="EH46" s="245"/>
      <c r="EI46" s="245"/>
      <c r="EJ46" s="245"/>
      <c r="EK46" s="245"/>
      <c r="EL46" s="245"/>
      <c r="EM46" s="245"/>
      <c r="EN46" s="245"/>
      <c r="EO46" s="245"/>
      <c r="EP46" s="245"/>
      <c r="EQ46" s="245"/>
      <c r="ER46" s="245"/>
      <c r="ES46" s="245"/>
      <c r="ET46" s="245"/>
      <c r="EU46" s="245"/>
      <c r="EV46" s="245"/>
      <c r="EW46" s="245"/>
      <c r="EX46" s="245"/>
      <c r="EY46" s="245"/>
      <c r="EZ46" s="245"/>
      <c r="FA46" s="245"/>
      <c r="FB46" s="245"/>
      <c r="FC46" s="245"/>
      <c r="FD46" s="245"/>
      <c r="FE46" s="245"/>
      <c r="FF46" s="245"/>
      <c r="FG46" s="245"/>
      <c r="FH46" s="245"/>
      <c r="FI46" s="245"/>
      <c r="FJ46" s="245"/>
      <c r="FK46" s="245"/>
      <c r="FL46" s="245"/>
      <c r="FM46" s="245"/>
      <c r="FN46" s="245"/>
      <c r="FO46" s="245"/>
      <c r="FP46" s="245"/>
      <c r="FQ46" s="245"/>
      <c r="FR46" s="245"/>
      <c r="FS46" s="245"/>
      <c r="FT46" s="245"/>
      <c r="FU46" s="245"/>
      <c r="FV46" s="245"/>
      <c r="FW46" s="245"/>
      <c r="FX46" s="245"/>
      <c r="FY46" s="245"/>
      <c r="FZ46" s="245"/>
      <c r="GA46" s="245"/>
      <c r="GB46" s="245"/>
      <c r="GC46" s="245"/>
      <c r="GD46" s="245"/>
      <c r="GE46" s="245"/>
      <c r="GF46" s="245"/>
      <c r="GG46" s="245"/>
      <c r="GH46" s="245"/>
      <c r="GI46" s="245"/>
      <c r="GJ46" s="245"/>
      <c r="GK46" s="245"/>
      <c r="GL46" s="245"/>
      <c r="GM46" s="245"/>
      <c r="GN46" s="245"/>
      <c r="GO46" s="245"/>
      <c r="GP46" s="245"/>
      <c r="GQ46" s="245"/>
      <c r="GR46" s="245"/>
      <c r="GS46" s="245"/>
      <c r="GT46" s="245"/>
    </row>
    <row r="47" spans="1:202" ht="14.25">
      <c r="A47" s="41"/>
      <c r="B47" s="10" t="s">
        <v>272</v>
      </c>
      <c r="C47" s="112">
        <v>-19162</v>
      </c>
      <c r="D47" s="112">
        <v>-21208</v>
      </c>
      <c r="E47" s="112">
        <v>-23050</v>
      </c>
      <c r="F47" s="112">
        <v>-24813</v>
      </c>
      <c r="G47" s="112">
        <v>-27810</v>
      </c>
      <c r="H47" s="112">
        <v>-30571</v>
      </c>
      <c r="I47" s="112">
        <v>-33910</v>
      </c>
      <c r="J47" s="310">
        <v>-52509</v>
      </c>
      <c r="L47" s="23"/>
      <c r="M47" s="23"/>
      <c r="N47" s="23"/>
      <c r="O47" s="23"/>
      <c r="P47" s="23"/>
      <c r="Q47" s="23"/>
      <c r="R47" s="192"/>
      <c r="S47" s="192"/>
      <c r="T47" s="10"/>
      <c r="U47" s="112">
        <v>-2305</v>
      </c>
      <c r="V47" s="112">
        <v>-2046</v>
      </c>
      <c r="W47" s="112">
        <v>-1842</v>
      </c>
      <c r="X47" s="112">
        <v>-2305</v>
      </c>
      <c r="Y47" s="112">
        <v>-2500</v>
      </c>
      <c r="Z47" s="112">
        <v>-2871</v>
      </c>
      <c r="AA47" s="269">
        <v>-3339</v>
      </c>
      <c r="AB47" s="322">
        <v>-3818</v>
      </c>
      <c r="AC47" s="11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245"/>
      <c r="BX47" s="245"/>
      <c r="BY47" s="245"/>
      <c r="BZ47" s="245"/>
      <c r="CA47" s="245"/>
      <c r="CB47" s="245"/>
      <c r="CC47" s="245"/>
      <c r="CD47" s="245"/>
      <c r="CE47" s="245"/>
      <c r="CF47" s="245"/>
      <c r="CG47" s="245"/>
      <c r="CH47" s="245"/>
      <c r="CI47" s="245"/>
      <c r="CJ47" s="245"/>
      <c r="CK47" s="245"/>
      <c r="CL47" s="245"/>
      <c r="CM47" s="245"/>
      <c r="CN47" s="245"/>
      <c r="CO47" s="245"/>
      <c r="CP47" s="245"/>
      <c r="CQ47" s="245"/>
      <c r="CR47" s="245"/>
      <c r="CS47" s="245"/>
      <c r="CT47" s="245"/>
      <c r="CU47" s="245"/>
      <c r="CV47" s="245"/>
      <c r="CW47" s="245"/>
      <c r="CX47" s="245"/>
      <c r="CY47" s="245"/>
      <c r="CZ47" s="245"/>
      <c r="DA47" s="245"/>
      <c r="DB47" s="245"/>
      <c r="DC47" s="245"/>
      <c r="DD47" s="245"/>
      <c r="DE47" s="245"/>
      <c r="DF47" s="245"/>
      <c r="DG47" s="245"/>
      <c r="DH47" s="245"/>
      <c r="DI47" s="245"/>
      <c r="DJ47" s="245"/>
      <c r="DK47" s="245"/>
      <c r="DL47" s="245"/>
      <c r="DM47" s="245"/>
      <c r="DN47" s="245"/>
      <c r="DO47" s="245"/>
      <c r="DP47" s="245"/>
      <c r="DQ47" s="245"/>
      <c r="DR47" s="245"/>
      <c r="DS47" s="245"/>
      <c r="DT47" s="245"/>
      <c r="DU47" s="245"/>
      <c r="DV47" s="245"/>
      <c r="DW47" s="245"/>
      <c r="DX47" s="245"/>
      <c r="DY47" s="245"/>
      <c r="DZ47" s="245"/>
      <c r="EA47" s="245"/>
      <c r="EB47" s="245"/>
      <c r="EC47" s="245"/>
      <c r="ED47" s="245"/>
      <c r="EE47" s="245"/>
      <c r="EF47" s="245"/>
      <c r="EG47" s="245"/>
      <c r="EH47" s="245"/>
      <c r="EI47" s="245"/>
      <c r="EJ47" s="245"/>
      <c r="EK47" s="245"/>
      <c r="EL47" s="245"/>
      <c r="EM47" s="245"/>
      <c r="EN47" s="245"/>
      <c r="EO47" s="245"/>
      <c r="EP47" s="245"/>
      <c r="EQ47" s="245"/>
      <c r="ER47" s="245"/>
      <c r="ES47" s="245"/>
      <c r="ET47" s="245"/>
      <c r="EU47" s="245"/>
      <c r="EV47" s="245"/>
      <c r="EW47" s="245"/>
      <c r="EX47" s="245"/>
      <c r="EY47" s="245"/>
      <c r="EZ47" s="245"/>
      <c r="FA47" s="245"/>
      <c r="FB47" s="245"/>
      <c r="FC47" s="245"/>
      <c r="FD47" s="245"/>
      <c r="FE47" s="245"/>
      <c r="FF47" s="245"/>
      <c r="FG47" s="245"/>
      <c r="FH47" s="245"/>
      <c r="FI47" s="245"/>
      <c r="FJ47" s="245"/>
      <c r="FK47" s="245"/>
      <c r="FL47" s="245"/>
      <c r="FM47" s="245"/>
      <c r="FN47" s="245"/>
      <c r="FO47" s="245"/>
      <c r="FP47" s="245"/>
      <c r="FQ47" s="245"/>
      <c r="FR47" s="245"/>
      <c r="FS47" s="245"/>
      <c r="FT47" s="245"/>
      <c r="FU47" s="245"/>
      <c r="FV47" s="245"/>
      <c r="FW47" s="245"/>
      <c r="FX47" s="245"/>
      <c r="FY47" s="245"/>
      <c r="FZ47" s="245"/>
      <c r="GA47" s="245"/>
      <c r="GB47" s="245"/>
      <c r="GC47" s="245"/>
      <c r="GD47" s="245"/>
      <c r="GE47" s="245"/>
      <c r="GF47" s="245"/>
      <c r="GG47" s="245"/>
      <c r="GH47" s="245"/>
      <c r="GI47" s="245"/>
      <c r="GJ47" s="245"/>
      <c r="GK47" s="245"/>
      <c r="GL47" s="245"/>
      <c r="GM47" s="245"/>
      <c r="GN47" s="245"/>
      <c r="GO47" s="245"/>
      <c r="GP47" s="245"/>
      <c r="GQ47" s="245"/>
      <c r="GR47" s="245"/>
      <c r="GS47" s="245"/>
      <c r="GT47" s="245"/>
    </row>
    <row r="48" spans="1:202" ht="12.75">
      <c r="A48" s="41"/>
      <c r="C48" s="112"/>
      <c r="D48" s="112"/>
      <c r="E48" s="112"/>
      <c r="F48" s="112"/>
      <c r="G48" s="112"/>
      <c r="H48" s="112"/>
      <c r="I48" s="112"/>
      <c r="J48" s="310"/>
      <c r="L48" s="23"/>
      <c r="M48" s="23"/>
      <c r="N48" s="23"/>
      <c r="O48" s="23"/>
      <c r="P48" s="23"/>
      <c r="Q48" s="23"/>
      <c r="R48" s="192"/>
      <c r="S48" s="192"/>
      <c r="T48" s="10"/>
      <c r="U48" s="112"/>
      <c r="V48" s="112"/>
      <c r="W48" s="112"/>
      <c r="X48" s="112"/>
      <c r="Y48" s="112"/>
      <c r="Z48" s="112"/>
      <c r="AA48" s="269"/>
      <c r="AB48" s="322"/>
      <c r="AC48" s="11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5"/>
      <c r="BR48" s="245"/>
      <c r="BS48" s="245"/>
      <c r="BT48" s="245"/>
      <c r="BU48" s="245"/>
      <c r="BV48" s="245"/>
      <c r="BW48" s="245"/>
      <c r="BX48" s="245"/>
      <c r="BY48" s="245"/>
      <c r="BZ48" s="245"/>
      <c r="CA48" s="245"/>
      <c r="CB48" s="245"/>
      <c r="CC48" s="245"/>
      <c r="CD48" s="245"/>
      <c r="CE48" s="245"/>
      <c r="CF48" s="245"/>
      <c r="CG48" s="245"/>
      <c r="CH48" s="245"/>
      <c r="CI48" s="245"/>
      <c r="CJ48" s="245"/>
      <c r="CK48" s="245"/>
      <c r="CL48" s="245"/>
      <c r="CM48" s="245"/>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5"/>
      <c r="DJ48" s="245"/>
      <c r="DK48" s="245"/>
      <c r="DL48" s="245"/>
      <c r="DM48" s="245"/>
      <c r="DN48" s="245"/>
      <c r="DO48" s="245"/>
      <c r="DP48" s="245"/>
      <c r="DQ48" s="245"/>
      <c r="DR48" s="245"/>
      <c r="DS48" s="245"/>
      <c r="DT48" s="245"/>
      <c r="DU48" s="245"/>
      <c r="DV48" s="245"/>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45"/>
      <c r="FV48" s="245"/>
      <c r="FW48" s="245"/>
      <c r="FX48" s="245"/>
      <c r="FY48" s="245"/>
      <c r="FZ48" s="245"/>
      <c r="GA48" s="245"/>
      <c r="GB48" s="245"/>
      <c r="GC48" s="245"/>
      <c r="GD48" s="245"/>
      <c r="GE48" s="245"/>
      <c r="GF48" s="245"/>
      <c r="GG48" s="245"/>
      <c r="GH48" s="245"/>
      <c r="GI48" s="245"/>
      <c r="GJ48" s="245"/>
      <c r="GK48" s="245"/>
      <c r="GL48" s="245"/>
      <c r="GM48" s="245"/>
      <c r="GN48" s="245"/>
      <c r="GO48" s="245"/>
      <c r="GP48" s="245"/>
      <c r="GQ48" s="245"/>
      <c r="GR48" s="245"/>
      <c r="GS48" s="245"/>
      <c r="GT48" s="245"/>
    </row>
    <row r="49" spans="1:202" ht="12.75">
      <c r="A49" s="41"/>
      <c r="B49" s="41" t="s">
        <v>241</v>
      </c>
      <c r="C49" s="112"/>
      <c r="D49" s="112"/>
      <c r="E49" s="112"/>
      <c r="F49" s="112"/>
      <c r="G49" s="112"/>
      <c r="H49" s="112"/>
      <c r="I49" s="112"/>
      <c r="J49" s="310"/>
      <c r="L49" s="23"/>
      <c r="M49" s="23"/>
      <c r="N49" s="23"/>
      <c r="O49" s="23"/>
      <c r="P49" s="23"/>
      <c r="Q49" s="23"/>
      <c r="R49" s="192"/>
      <c r="S49" s="192"/>
      <c r="T49" s="10"/>
      <c r="U49" s="112"/>
      <c r="V49" s="112"/>
      <c r="W49" s="112"/>
      <c r="X49" s="112"/>
      <c r="Y49" s="112"/>
      <c r="Z49" s="112"/>
      <c r="AA49" s="269"/>
      <c r="AB49" s="322"/>
      <c r="AC49" s="11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5"/>
      <c r="BR49" s="245"/>
      <c r="BS49" s="245"/>
      <c r="BT49" s="245"/>
      <c r="BU49" s="245"/>
      <c r="BV49" s="245"/>
      <c r="BW49" s="245"/>
      <c r="BX49" s="245"/>
      <c r="BY49" s="245"/>
      <c r="BZ49" s="245"/>
      <c r="CA49" s="245"/>
      <c r="CB49" s="245"/>
      <c r="CC49" s="245"/>
      <c r="CD49" s="245"/>
      <c r="CE49" s="245"/>
      <c r="CF49" s="245"/>
      <c r="CG49" s="245"/>
      <c r="CH49" s="245"/>
      <c r="CI49" s="245"/>
      <c r="CJ49" s="245"/>
      <c r="CK49" s="245"/>
      <c r="CL49" s="245"/>
      <c r="CM49" s="245"/>
      <c r="CN49" s="245"/>
      <c r="CO49" s="245"/>
      <c r="CP49" s="245"/>
      <c r="CQ49" s="245"/>
      <c r="CR49" s="245"/>
      <c r="CS49" s="245"/>
      <c r="CT49" s="245"/>
      <c r="CU49" s="245"/>
      <c r="CV49" s="245"/>
      <c r="CW49" s="245"/>
      <c r="CX49" s="245"/>
      <c r="CY49" s="245"/>
      <c r="CZ49" s="245"/>
      <c r="DA49" s="245"/>
      <c r="DB49" s="245"/>
      <c r="DC49" s="245"/>
      <c r="DD49" s="245"/>
      <c r="DE49" s="245"/>
      <c r="DF49" s="245"/>
      <c r="DG49" s="245"/>
      <c r="DH49" s="245"/>
      <c r="DI49" s="245"/>
      <c r="DJ49" s="245"/>
      <c r="DK49" s="245"/>
      <c r="DL49" s="245"/>
      <c r="DM49" s="245"/>
      <c r="DN49" s="245"/>
      <c r="DO49" s="245"/>
      <c r="DP49" s="245"/>
      <c r="DQ49" s="245"/>
      <c r="DR49" s="245"/>
      <c r="DS49" s="245"/>
      <c r="DT49" s="245"/>
      <c r="DU49" s="245"/>
      <c r="DV49" s="245"/>
      <c r="DW49" s="245"/>
      <c r="DX49" s="245"/>
      <c r="DY49" s="245"/>
      <c r="DZ49" s="245"/>
      <c r="EA49" s="245"/>
      <c r="EB49" s="245"/>
      <c r="EC49" s="245"/>
      <c r="ED49" s="245"/>
      <c r="EE49" s="245"/>
      <c r="EF49" s="245"/>
      <c r="EG49" s="245"/>
      <c r="EH49" s="245"/>
      <c r="EI49" s="245"/>
      <c r="EJ49" s="245"/>
      <c r="EK49" s="245"/>
      <c r="EL49" s="245"/>
      <c r="EM49" s="245"/>
      <c r="EN49" s="245"/>
      <c r="EO49" s="245"/>
      <c r="EP49" s="245"/>
      <c r="EQ49" s="245"/>
      <c r="ER49" s="245"/>
      <c r="ES49" s="245"/>
      <c r="ET49" s="245"/>
      <c r="EU49" s="245"/>
      <c r="EV49" s="245"/>
      <c r="EW49" s="245"/>
      <c r="EX49" s="245"/>
      <c r="EY49" s="245"/>
      <c r="EZ49" s="245"/>
      <c r="FA49" s="245"/>
      <c r="FB49" s="245"/>
      <c r="FC49" s="245"/>
      <c r="FD49" s="245"/>
      <c r="FE49" s="245"/>
      <c r="FF49" s="245"/>
      <c r="FG49" s="245"/>
      <c r="FH49" s="245"/>
      <c r="FI49" s="245"/>
      <c r="FJ49" s="245"/>
      <c r="FK49" s="245"/>
      <c r="FL49" s="245"/>
      <c r="FM49" s="245"/>
      <c r="FN49" s="245"/>
      <c r="FO49" s="245"/>
      <c r="FP49" s="245"/>
      <c r="FQ49" s="245"/>
      <c r="FR49" s="245"/>
      <c r="FS49" s="245"/>
      <c r="FT49" s="245"/>
      <c r="FU49" s="245"/>
      <c r="FV49" s="245"/>
      <c r="FW49" s="245"/>
      <c r="FX49" s="245"/>
      <c r="FY49" s="245"/>
      <c r="FZ49" s="245"/>
      <c r="GA49" s="245"/>
      <c r="GB49" s="245"/>
      <c r="GC49" s="245"/>
      <c r="GD49" s="245"/>
      <c r="GE49" s="245"/>
      <c r="GF49" s="245"/>
      <c r="GG49" s="245"/>
      <c r="GH49" s="245"/>
      <c r="GI49" s="245"/>
      <c r="GJ49" s="245"/>
      <c r="GK49" s="245"/>
      <c r="GL49" s="245"/>
      <c r="GM49" s="245"/>
      <c r="GN49" s="245"/>
      <c r="GO49" s="245"/>
      <c r="GP49" s="245"/>
      <c r="GQ49" s="245"/>
      <c r="GR49" s="245"/>
      <c r="GS49" s="245"/>
      <c r="GT49" s="245"/>
    </row>
    <row r="50" spans="1:202" ht="12.75">
      <c r="A50" s="41"/>
      <c r="B50" s="10" t="s">
        <v>193</v>
      </c>
      <c r="C50" s="112">
        <v>28664</v>
      </c>
      <c r="D50" s="112">
        <v>29568</v>
      </c>
      <c r="E50" s="112">
        <v>30230</v>
      </c>
      <c r="F50" s="112">
        <v>30907</v>
      </c>
      <c r="G50" s="112">
        <v>31864</v>
      </c>
      <c r="H50" s="112">
        <v>32425</v>
      </c>
      <c r="I50" s="112">
        <v>38948</v>
      </c>
      <c r="J50" s="310">
        <v>39462</v>
      </c>
      <c r="L50" s="23">
        <v>0.052</v>
      </c>
      <c r="M50" s="23">
        <v>0.055</v>
      </c>
      <c r="N50" s="23">
        <v>0.056</v>
      </c>
      <c r="O50" s="23">
        <v>0.055</v>
      </c>
      <c r="P50" s="23">
        <v>0.054</v>
      </c>
      <c r="Q50" s="23">
        <v>0.054</v>
      </c>
      <c r="R50" s="192">
        <v>0.07</v>
      </c>
      <c r="S50" s="319">
        <v>0.07014014589078525</v>
      </c>
      <c r="T50" s="10"/>
      <c r="U50" s="112">
        <v>739</v>
      </c>
      <c r="V50" s="112">
        <v>904</v>
      </c>
      <c r="W50" s="112">
        <v>662</v>
      </c>
      <c r="X50" s="112">
        <v>656</v>
      </c>
      <c r="Y50" s="112">
        <v>665</v>
      </c>
      <c r="Z50" s="112">
        <v>616</v>
      </c>
      <c r="AA50" s="269">
        <v>574</v>
      </c>
      <c r="AB50" s="322">
        <v>514</v>
      </c>
      <c r="AC50" s="11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5"/>
      <c r="BR50" s="245"/>
      <c r="BS50" s="245"/>
      <c r="BT50" s="245"/>
      <c r="BU50" s="245"/>
      <c r="BV50" s="245"/>
      <c r="BW50" s="245"/>
      <c r="BX50" s="245"/>
      <c r="BY50" s="245"/>
      <c r="BZ50" s="245"/>
      <c r="CA50" s="245"/>
      <c r="CB50" s="245"/>
      <c r="CC50" s="245"/>
      <c r="CD50" s="245"/>
      <c r="CE50" s="245"/>
      <c r="CF50" s="245"/>
      <c r="CG50" s="245"/>
      <c r="CH50" s="245"/>
      <c r="CI50" s="245"/>
      <c r="CJ50" s="245"/>
      <c r="CK50" s="245"/>
      <c r="CL50" s="245"/>
      <c r="CM50" s="245"/>
      <c r="CN50" s="245"/>
      <c r="CO50" s="245"/>
      <c r="CP50" s="245"/>
      <c r="CQ50" s="245"/>
      <c r="CR50" s="245"/>
      <c r="CS50" s="245"/>
      <c r="CT50" s="245"/>
      <c r="CU50" s="245"/>
      <c r="CV50" s="245"/>
      <c r="CW50" s="245"/>
      <c r="CX50" s="245"/>
      <c r="CY50" s="245"/>
      <c r="CZ50" s="245"/>
      <c r="DA50" s="245"/>
      <c r="DB50" s="245"/>
      <c r="DC50" s="245"/>
      <c r="DD50" s="245"/>
      <c r="DE50" s="245"/>
      <c r="DF50" s="245"/>
      <c r="DG50" s="245"/>
      <c r="DH50" s="245"/>
      <c r="DI50" s="245"/>
      <c r="DJ50" s="245"/>
      <c r="DK50" s="245"/>
      <c r="DL50" s="245"/>
      <c r="DM50" s="245"/>
      <c r="DN50" s="245"/>
      <c r="DO50" s="245"/>
      <c r="DP50" s="245"/>
      <c r="DQ50" s="245"/>
      <c r="DR50" s="245"/>
      <c r="DS50" s="245"/>
      <c r="DT50" s="245"/>
      <c r="DU50" s="245"/>
      <c r="DV50" s="245"/>
      <c r="DW50" s="245"/>
      <c r="DX50" s="245"/>
      <c r="DY50" s="245"/>
      <c r="DZ50" s="245"/>
      <c r="EA50" s="245"/>
      <c r="EB50" s="245"/>
      <c r="EC50" s="245"/>
      <c r="ED50" s="245"/>
      <c r="EE50" s="245"/>
      <c r="EF50" s="245"/>
      <c r="EG50" s="245"/>
      <c r="EH50" s="245"/>
      <c r="EI50" s="245"/>
      <c r="EJ50" s="245"/>
      <c r="EK50" s="245"/>
      <c r="EL50" s="245"/>
      <c r="EM50" s="245"/>
      <c r="EN50" s="245"/>
      <c r="EO50" s="245"/>
      <c r="EP50" s="245"/>
      <c r="EQ50" s="245"/>
      <c r="ER50" s="245"/>
      <c r="ES50" s="245"/>
      <c r="ET50" s="245"/>
      <c r="EU50" s="245"/>
      <c r="EV50" s="245"/>
      <c r="EW50" s="245"/>
      <c r="EX50" s="245"/>
      <c r="EY50" s="245"/>
      <c r="EZ50" s="245"/>
      <c r="FA50" s="245"/>
      <c r="FB50" s="245"/>
      <c r="FC50" s="245"/>
      <c r="FD50" s="245"/>
      <c r="FE50" s="245"/>
      <c r="FF50" s="245"/>
      <c r="FG50" s="245"/>
      <c r="FH50" s="245"/>
      <c r="FI50" s="245"/>
      <c r="FJ50" s="245"/>
      <c r="FK50" s="245"/>
      <c r="FL50" s="245"/>
      <c r="FM50" s="245"/>
      <c r="FN50" s="245"/>
      <c r="FO50" s="245"/>
      <c r="FP50" s="245"/>
      <c r="FQ50" s="245"/>
      <c r="FR50" s="245"/>
      <c r="FS50" s="245"/>
      <c r="FT50" s="245"/>
      <c r="FU50" s="245"/>
      <c r="FV50" s="245"/>
      <c r="FW50" s="245"/>
      <c r="FX50" s="245"/>
      <c r="FY50" s="245"/>
      <c r="FZ50" s="245"/>
      <c r="GA50" s="245"/>
      <c r="GB50" s="245"/>
      <c r="GC50" s="245"/>
      <c r="GD50" s="245"/>
      <c r="GE50" s="245"/>
      <c r="GF50" s="245"/>
      <c r="GG50" s="245"/>
      <c r="GH50" s="245"/>
      <c r="GI50" s="245"/>
      <c r="GJ50" s="245"/>
      <c r="GK50" s="245"/>
      <c r="GL50" s="245"/>
      <c r="GM50" s="245"/>
      <c r="GN50" s="245"/>
      <c r="GO50" s="245"/>
      <c r="GP50" s="245"/>
      <c r="GQ50" s="245"/>
      <c r="GR50" s="245"/>
      <c r="GS50" s="245"/>
      <c r="GT50" s="245"/>
    </row>
    <row r="51" spans="1:202" ht="12.75">
      <c r="A51" s="41"/>
      <c r="B51" s="10" t="s">
        <v>36</v>
      </c>
      <c r="C51" s="112">
        <v>21560</v>
      </c>
      <c r="D51" s="112">
        <v>22784</v>
      </c>
      <c r="E51" s="112">
        <v>23620</v>
      </c>
      <c r="F51" s="112">
        <v>28518</v>
      </c>
      <c r="G51" s="112">
        <v>29854</v>
      </c>
      <c r="H51" s="112">
        <v>31398</v>
      </c>
      <c r="I51" s="112">
        <v>33417</v>
      </c>
      <c r="J51" s="310">
        <v>34774</v>
      </c>
      <c r="L51" s="23">
        <v>0.799</v>
      </c>
      <c r="M51" s="23">
        <v>0.808</v>
      </c>
      <c r="N51" s="23">
        <v>0.817</v>
      </c>
      <c r="O51" s="23">
        <v>0.966</v>
      </c>
      <c r="P51" s="23">
        <v>0.968</v>
      </c>
      <c r="Q51" s="23">
        <v>0.968</v>
      </c>
      <c r="R51" s="192">
        <v>0.97</v>
      </c>
      <c r="S51" s="319">
        <v>0.9716466426969621</v>
      </c>
      <c r="T51" s="10"/>
      <c r="U51" s="112">
        <v>939</v>
      </c>
      <c r="V51" s="112">
        <v>1224</v>
      </c>
      <c r="W51" s="112">
        <v>836</v>
      </c>
      <c r="X51" s="112">
        <v>1107</v>
      </c>
      <c r="Y51" s="112">
        <v>1336</v>
      </c>
      <c r="Z51" s="112">
        <v>1544</v>
      </c>
      <c r="AA51" s="269">
        <f>157+1204</f>
        <v>1361</v>
      </c>
      <c r="AB51" s="322">
        <v>1357</v>
      </c>
      <c r="AC51" s="11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5"/>
      <c r="BR51" s="245"/>
      <c r="BS51" s="245"/>
      <c r="BT51" s="245"/>
      <c r="BU51" s="245"/>
      <c r="BV51" s="245"/>
      <c r="BW51" s="245"/>
      <c r="BX51" s="245"/>
      <c r="BY51" s="245"/>
      <c r="BZ51" s="245"/>
      <c r="CA51" s="245"/>
      <c r="CB51" s="245"/>
      <c r="CC51" s="245"/>
      <c r="CD51" s="245"/>
      <c r="CE51" s="245"/>
      <c r="CF51" s="245"/>
      <c r="CG51" s="245"/>
      <c r="CH51" s="245"/>
      <c r="CI51" s="245"/>
      <c r="CJ51" s="245"/>
      <c r="CK51" s="245"/>
      <c r="CL51" s="245"/>
      <c r="CM51" s="245"/>
      <c r="CN51" s="245"/>
      <c r="CO51" s="245"/>
      <c r="CP51" s="245"/>
      <c r="CQ51" s="245"/>
      <c r="CR51" s="245"/>
      <c r="CS51" s="245"/>
      <c r="CT51" s="245"/>
      <c r="CU51" s="245"/>
      <c r="CV51" s="245"/>
      <c r="CW51" s="245"/>
      <c r="CX51" s="245"/>
      <c r="CY51" s="245"/>
      <c r="CZ51" s="245"/>
      <c r="DA51" s="245"/>
      <c r="DB51" s="245"/>
      <c r="DC51" s="245"/>
      <c r="DD51" s="245"/>
      <c r="DE51" s="245"/>
      <c r="DF51" s="245"/>
      <c r="DG51" s="245"/>
      <c r="DH51" s="245"/>
      <c r="DI51" s="245"/>
      <c r="DJ51" s="245"/>
      <c r="DK51" s="245"/>
      <c r="DL51" s="245"/>
      <c r="DM51" s="245"/>
      <c r="DN51" s="245"/>
      <c r="DO51" s="245"/>
      <c r="DP51" s="245"/>
      <c r="DQ51" s="245"/>
      <c r="DR51" s="245"/>
      <c r="DS51" s="245"/>
      <c r="DT51" s="245"/>
      <c r="DU51" s="245"/>
      <c r="DV51" s="245"/>
      <c r="DW51" s="245"/>
      <c r="DX51" s="245"/>
      <c r="DY51" s="245"/>
      <c r="DZ51" s="245"/>
      <c r="EA51" s="245"/>
      <c r="EB51" s="245"/>
      <c r="EC51" s="245"/>
      <c r="ED51" s="245"/>
      <c r="EE51" s="245"/>
      <c r="EF51" s="245"/>
      <c r="EG51" s="245"/>
      <c r="EH51" s="245"/>
      <c r="EI51" s="245"/>
      <c r="EJ51" s="245"/>
      <c r="EK51" s="245"/>
      <c r="EL51" s="245"/>
      <c r="EM51" s="245"/>
      <c r="EN51" s="245"/>
      <c r="EO51" s="245"/>
      <c r="EP51" s="245"/>
      <c r="EQ51" s="245"/>
      <c r="ER51" s="245"/>
      <c r="ES51" s="245"/>
      <c r="ET51" s="245"/>
      <c r="EU51" s="245"/>
      <c r="EV51" s="245"/>
      <c r="EW51" s="245"/>
      <c r="EX51" s="245"/>
      <c r="EY51" s="245"/>
      <c r="EZ51" s="245"/>
      <c r="FA51" s="245"/>
      <c r="FB51" s="245"/>
      <c r="FC51" s="245"/>
      <c r="FD51" s="245"/>
      <c r="FE51" s="245"/>
      <c r="FF51" s="245"/>
      <c r="FG51" s="245"/>
      <c r="FH51" s="245"/>
      <c r="FI51" s="245"/>
      <c r="FJ51" s="245"/>
      <c r="FK51" s="245"/>
      <c r="FL51" s="245"/>
      <c r="FM51" s="245"/>
      <c r="FN51" s="245"/>
      <c r="FO51" s="245"/>
      <c r="FP51" s="245"/>
      <c r="FQ51" s="245"/>
      <c r="FR51" s="245"/>
      <c r="FS51" s="245"/>
      <c r="FT51" s="245"/>
      <c r="FU51" s="245"/>
      <c r="FV51" s="245"/>
      <c r="FW51" s="245"/>
      <c r="FX51" s="245"/>
      <c r="FY51" s="245"/>
      <c r="FZ51" s="245"/>
      <c r="GA51" s="245"/>
      <c r="GB51" s="245"/>
      <c r="GC51" s="245"/>
      <c r="GD51" s="245"/>
      <c r="GE51" s="245"/>
      <c r="GF51" s="245"/>
      <c r="GG51" s="245"/>
      <c r="GH51" s="245"/>
      <c r="GI51" s="245"/>
      <c r="GJ51" s="245"/>
      <c r="GK51" s="245"/>
      <c r="GL51" s="245"/>
      <c r="GM51" s="245"/>
      <c r="GN51" s="245"/>
      <c r="GO51" s="245"/>
      <c r="GP51" s="245"/>
      <c r="GQ51" s="245"/>
      <c r="GR51" s="245"/>
      <c r="GS51" s="245"/>
      <c r="GT51" s="245"/>
    </row>
    <row r="52" spans="1:202" ht="12.75">
      <c r="A52" s="41"/>
      <c r="C52" s="123">
        <v>50224</v>
      </c>
      <c r="D52" s="123">
        <v>52352</v>
      </c>
      <c r="E52" s="123">
        <v>53850</v>
      </c>
      <c r="F52" s="123">
        <v>59425</v>
      </c>
      <c r="G52" s="123">
        <v>61718</v>
      </c>
      <c r="H52" s="123">
        <v>63823</v>
      </c>
      <c r="I52" s="123">
        <v>72365</v>
      </c>
      <c r="J52" s="121">
        <v>74236</v>
      </c>
      <c r="L52" s="23"/>
      <c r="M52" s="23"/>
      <c r="N52" s="23"/>
      <c r="O52" s="23"/>
      <c r="P52" s="23"/>
      <c r="Q52" s="23"/>
      <c r="R52" s="192"/>
      <c r="S52" s="319"/>
      <c r="T52" s="10"/>
      <c r="U52" s="123">
        <v>1678</v>
      </c>
      <c r="V52" s="123">
        <v>2128</v>
      </c>
      <c r="W52" s="123">
        <v>1498</v>
      </c>
      <c r="X52" s="123">
        <v>1763</v>
      </c>
      <c r="Y52" s="123">
        <v>2001</v>
      </c>
      <c r="Z52" s="123">
        <v>2160</v>
      </c>
      <c r="AA52" s="279">
        <f>AA50+AA51</f>
        <v>1935</v>
      </c>
      <c r="AB52" s="275">
        <f>AB50+AB51</f>
        <v>1871</v>
      </c>
      <c r="AC52" s="11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5"/>
      <c r="BR52" s="245"/>
      <c r="BS52" s="245"/>
      <c r="BT52" s="245"/>
      <c r="BU52" s="245"/>
      <c r="BV52" s="245"/>
      <c r="BW52" s="245"/>
      <c r="BX52" s="245"/>
      <c r="BY52" s="245"/>
      <c r="BZ52" s="245"/>
      <c r="CA52" s="245"/>
      <c r="CB52" s="245"/>
      <c r="CC52" s="245"/>
      <c r="CD52" s="245"/>
      <c r="CE52" s="245"/>
      <c r="CF52" s="245"/>
      <c r="CG52" s="245"/>
      <c r="CH52" s="245"/>
      <c r="CI52" s="245"/>
      <c r="CJ52" s="245"/>
      <c r="CK52" s="245"/>
      <c r="CL52" s="245"/>
      <c r="CM52" s="245"/>
      <c r="CN52" s="245"/>
      <c r="CO52" s="245"/>
      <c r="CP52" s="245"/>
      <c r="CQ52" s="245"/>
      <c r="CR52" s="245"/>
      <c r="CS52" s="245"/>
      <c r="CT52" s="245"/>
      <c r="CU52" s="245"/>
      <c r="CV52" s="245"/>
      <c r="CW52" s="245"/>
      <c r="CX52" s="245"/>
      <c r="CY52" s="245"/>
      <c r="CZ52" s="245"/>
      <c r="DA52" s="245"/>
      <c r="DB52" s="245"/>
      <c r="DC52" s="245"/>
      <c r="DD52" s="245"/>
      <c r="DE52" s="245"/>
      <c r="DF52" s="245"/>
      <c r="DG52" s="245"/>
      <c r="DH52" s="245"/>
      <c r="DI52" s="245"/>
      <c r="DJ52" s="245"/>
      <c r="DK52" s="245"/>
      <c r="DL52" s="245"/>
      <c r="DM52" s="245"/>
      <c r="DN52" s="245"/>
      <c r="DO52" s="245"/>
      <c r="DP52" s="245"/>
      <c r="DQ52" s="245"/>
      <c r="DR52" s="245"/>
      <c r="DS52" s="245"/>
      <c r="DT52" s="245"/>
      <c r="DU52" s="245"/>
      <c r="DV52" s="245"/>
      <c r="DW52" s="245"/>
      <c r="DX52" s="245"/>
      <c r="DY52" s="245"/>
      <c r="DZ52" s="245"/>
      <c r="EA52" s="245"/>
      <c r="EB52" s="245"/>
      <c r="EC52" s="245"/>
      <c r="ED52" s="245"/>
      <c r="EE52" s="245"/>
      <c r="EF52" s="245"/>
      <c r="EG52" s="245"/>
      <c r="EH52" s="245"/>
      <c r="EI52" s="245"/>
      <c r="EJ52" s="245"/>
      <c r="EK52" s="245"/>
      <c r="EL52" s="245"/>
      <c r="EM52" s="245"/>
      <c r="EN52" s="245"/>
      <c r="EO52" s="245"/>
      <c r="EP52" s="245"/>
      <c r="EQ52" s="245"/>
      <c r="ER52" s="245"/>
      <c r="ES52" s="245"/>
      <c r="ET52" s="245"/>
      <c r="EU52" s="245"/>
      <c r="EV52" s="245"/>
      <c r="EW52" s="245"/>
      <c r="EX52" s="245"/>
      <c r="EY52" s="245"/>
      <c r="EZ52" s="245"/>
      <c r="FA52" s="245"/>
      <c r="FB52" s="245"/>
      <c r="FC52" s="245"/>
      <c r="FD52" s="245"/>
      <c r="FE52" s="245"/>
      <c r="FF52" s="245"/>
      <c r="FG52" s="245"/>
      <c r="FH52" s="245"/>
      <c r="FI52" s="245"/>
      <c r="FJ52" s="245"/>
      <c r="FK52" s="245"/>
      <c r="FL52" s="245"/>
      <c r="FM52" s="245"/>
      <c r="FN52" s="245"/>
      <c r="FO52" s="245"/>
      <c r="FP52" s="245"/>
      <c r="FQ52" s="245"/>
      <c r="FR52" s="245"/>
      <c r="FS52" s="245"/>
      <c r="FT52" s="245"/>
      <c r="FU52" s="245"/>
      <c r="FV52" s="245"/>
      <c r="FW52" s="245"/>
      <c r="FX52" s="245"/>
      <c r="FY52" s="245"/>
      <c r="FZ52" s="245"/>
      <c r="GA52" s="245"/>
      <c r="GB52" s="245"/>
      <c r="GC52" s="245"/>
      <c r="GD52" s="245"/>
      <c r="GE52" s="245"/>
      <c r="GF52" s="245"/>
      <c r="GG52" s="245"/>
      <c r="GH52" s="245"/>
      <c r="GI52" s="245"/>
      <c r="GJ52" s="245"/>
      <c r="GK52" s="245"/>
      <c r="GL52" s="245"/>
      <c r="GM52" s="245"/>
      <c r="GN52" s="245"/>
      <c r="GO52" s="245"/>
      <c r="GP52" s="245"/>
      <c r="GQ52" s="245"/>
      <c r="GR52" s="245"/>
      <c r="GS52" s="245"/>
      <c r="GT52" s="245"/>
    </row>
    <row r="53" spans="1:202" ht="13.5" thickBot="1">
      <c r="A53" s="41"/>
      <c r="C53" s="309">
        <v>241475</v>
      </c>
      <c r="D53" s="309">
        <v>252301</v>
      </c>
      <c r="E53" s="309">
        <v>260486</v>
      </c>
      <c r="F53" s="309">
        <v>269022</v>
      </c>
      <c r="G53" s="309">
        <v>279519</v>
      </c>
      <c r="H53" s="309">
        <v>288990</v>
      </c>
      <c r="I53" s="309">
        <v>302611</v>
      </c>
      <c r="J53" s="114">
        <v>315264</v>
      </c>
      <c r="L53" s="23"/>
      <c r="M53" s="23"/>
      <c r="N53" s="23"/>
      <c r="O53" s="23"/>
      <c r="P53" s="23"/>
      <c r="Q53" s="23"/>
      <c r="R53" s="192"/>
      <c r="S53" s="319"/>
      <c r="T53" s="10"/>
      <c r="U53" s="309">
        <v>11377</v>
      </c>
      <c r="V53" s="309">
        <v>10826</v>
      </c>
      <c r="W53" s="309">
        <v>8185</v>
      </c>
      <c r="X53" s="309">
        <v>8515</v>
      </c>
      <c r="Y53" s="309">
        <v>9073</v>
      </c>
      <c r="Z53" s="309">
        <v>9024</v>
      </c>
      <c r="AA53" s="320">
        <f>AA44+AA47+AA52</f>
        <v>7014</v>
      </c>
      <c r="AB53" s="278">
        <f>AB44+AB47+AB52</f>
        <v>8012</v>
      </c>
      <c r="AC53" s="116"/>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5"/>
      <c r="BR53" s="245"/>
      <c r="BS53" s="245"/>
      <c r="BT53" s="245"/>
      <c r="BU53" s="245"/>
      <c r="BV53" s="245"/>
      <c r="BW53" s="245"/>
      <c r="BX53" s="245"/>
      <c r="BY53" s="245"/>
      <c r="BZ53" s="245"/>
      <c r="CA53" s="245"/>
      <c r="CB53" s="245"/>
      <c r="CC53" s="245"/>
      <c r="CD53" s="245"/>
      <c r="CE53" s="245"/>
      <c r="CF53" s="245"/>
      <c r="CG53" s="245"/>
      <c r="CH53" s="245"/>
      <c r="CI53" s="245"/>
      <c r="CJ53" s="245"/>
      <c r="CK53" s="245"/>
      <c r="CL53" s="245"/>
      <c r="CM53" s="245"/>
      <c r="CN53" s="245"/>
      <c r="CO53" s="245"/>
      <c r="CP53" s="245"/>
      <c r="CQ53" s="245"/>
      <c r="CR53" s="245"/>
      <c r="CS53" s="245"/>
      <c r="CT53" s="245"/>
      <c r="CU53" s="245"/>
      <c r="CV53" s="245"/>
      <c r="CW53" s="245"/>
      <c r="CX53" s="245"/>
      <c r="CY53" s="245"/>
      <c r="CZ53" s="245"/>
      <c r="DA53" s="245"/>
      <c r="DB53" s="245"/>
      <c r="DC53" s="245"/>
      <c r="DD53" s="245"/>
      <c r="DE53" s="245"/>
      <c r="DF53" s="245"/>
      <c r="DG53" s="245"/>
      <c r="DH53" s="245"/>
      <c r="DI53" s="245"/>
      <c r="DJ53" s="245"/>
      <c r="DK53" s="245"/>
      <c r="DL53" s="245"/>
      <c r="DM53" s="245"/>
      <c r="DN53" s="245"/>
      <c r="DO53" s="245"/>
      <c r="DP53" s="245"/>
      <c r="DQ53" s="245"/>
      <c r="DR53" s="245"/>
      <c r="DS53" s="245"/>
      <c r="DT53" s="245"/>
      <c r="DU53" s="245"/>
      <c r="DV53" s="245"/>
      <c r="DW53" s="245"/>
      <c r="DX53" s="245"/>
      <c r="DY53" s="245"/>
      <c r="DZ53" s="245"/>
      <c r="EA53" s="245"/>
      <c r="EB53" s="245"/>
      <c r="EC53" s="245"/>
      <c r="ED53" s="245"/>
      <c r="EE53" s="245"/>
      <c r="EF53" s="245"/>
      <c r="EG53" s="245"/>
      <c r="EH53" s="245"/>
      <c r="EI53" s="245"/>
      <c r="EJ53" s="245"/>
      <c r="EK53" s="245"/>
      <c r="EL53" s="245"/>
      <c r="EM53" s="245"/>
      <c r="EN53" s="245"/>
      <c r="EO53" s="245"/>
      <c r="EP53" s="245"/>
      <c r="EQ53" s="245"/>
      <c r="ER53" s="245"/>
      <c r="ES53" s="245"/>
      <c r="ET53" s="245"/>
      <c r="EU53" s="245"/>
      <c r="EV53" s="245"/>
      <c r="EW53" s="245"/>
      <c r="EX53" s="245"/>
      <c r="EY53" s="245"/>
      <c r="EZ53" s="245"/>
      <c r="FA53" s="245"/>
      <c r="FB53" s="245"/>
      <c r="FC53" s="245"/>
      <c r="FD53" s="245"/>
      <c r="FE53" s="245"/>
      <c r="FF53" s="245"/>
      <c r="FG53" s="245"/>
      <c r="FH53" s="245"/>
      <c r="FI53" s="245"/>
      <c r="FJ53" s="245"/>
      <c r="FK53" s="245"/>
      <c r="FL53" s="245"/>
      <c r="FM53" s="245"/>
      <c r="FN53" s="245"/>
      <c r="FO53" s="245"/>
      <c r="FP53" s="245"/>
      <c r="FQ53" s="245"/>
      <c r="FR53" s="245"/>
      <c r="FS53" s="245"/>
      <c r="FT53" s="245"/>
      <c r="FU53" s="245"/>
      <c r="FV53" s="245"/>
      <c r="FW53" s="245"/>
      <c r="FX53" s="245"/>
      <c r="FY53" s="245"/>
      <c r="FZ53" s="245"/>
      <c r="GA53" s="245"/>
      <c r="GB53" s="245"/>
      <c r="GC53" s="245"/>
      <c r="GD53" s="245"/>
      <c r="GE53" s="245"/>
      <c r="GF53" s="245"/>
      <c r="GG53" s="245"/>
      <c r="GH53" s="245"/>
      <c r="GI53" s="245"/>
      <c r="GJ53" s="245"/>
      <c r="GK53" s="245"/>
      <c r="GL53" s="245"/>
      <c r="GM53" s="245"/>
      <c r="GN53" s="245"/>
      <c r="GO53" s="245"/>
      <c r="GP53" s="245"/>
      <c r="GQ53" s="245"/>
      <c r="GR53" s="245"/>
      <c r="GS53" s="245"/>
      <c r="GT53" s="245"/>
    </row>
    <row r="54" spans="1:202" ht="16.5" thickTop="1">
      <c r="A54" s="41" t="s">
        <v>261</v>
      </c>
      <c r="C54" s="112"/>
      <c r="D54" s="112"/>
      <c r="E54" s="112"/>
      <c r="F54" s="112"/>
      <c r="G54" s="112"/>
      <c r="H54" s="112"/>
      <c r="I54" s="112"/>
      <c r="J54" s="310"/>
      <c r="R54" s="5"/>
      <c r="S54" s="4"/>
      <c r="T54" s="10"/>
      <c r="U54" s="112"/>
      <c r="V54" s="112"/>
      <c r="W54" s="112"/>
      <c r="X54" s="112"/>
      <c r="Y54" s="112"/>
      <c r="Z54" s="112"/>
      <c r="AA54" s="269"/>
      <c r="AB54" s="322"/>
      <c r="AC54" s="11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5"/>
      <c r="BR54" s="245"/>
      <c r="BS54" s="245"/>
      <c r="BT54" s="245"/>
      <c r="BU54" s="245"/>
      <c r="BV54" s="245"/>
      <c r="BW54" s="245"/>
      <c r="BX54" s="245"/>
      <c r="BY54" s="245"/>
      <c r="BZ54" s="245"/>
      <c r="CA54" s="245"/>
      <c r="CB54" s="245"/>
      <c r="CC54" s="245"/>
      <c r="CD54" s="245"/>
      <c r="CE54" s="245"/>
      <c r="CF54" s="245"/>
      <c r="CG54" s="245"/>
      <c r="CH54" s="245"/>
      <c r="CI54" s="245"/>
      <c r="CJ54" s="245"/>
      <c r="CK54" s="245"/>
      <c r="CL54" s="245"/>
      <c r="CM54" s="245"/>
      <c r="CN54" s="245"/>
      <c r="CO54" s="245"/>
      <c r="CP54" s="245"/>
      <c r="CQ54" s="245"/>
      <c r="CR54" s="245"/>
      <c r="CS54" s="245"/>
      <c r="CT54" s="245"/>
      <c r="CU54" s="245"/>
      <c r="CV54" s="245"/>
      <c r="CW54" s="245"/>
      <c r="CX54" s="245"/>
      <c r="CY54" s="245"/>
      <c r="CZ54" s="245"/>
      <c r="DA54" s="245"/>
      <c r="DB54" s="245"/>
      <c r="DC54" s="245"/>
      <c r="DD54" s="245"/>
      <c r="DE54" s="245"/>
      <c r="DF54" s="245"/>
      <c r="DG54" s="245"/>
      <c r="DH54" s="245"/>
      <c r="DI54" s="245"/>
      <c r="DJ54" s="245"/>
      <c r="DK54" s="245"/>
      <c r="DL54" s="245"/>
      <c r="DM54" s="245"/>
      <c r="DN54" s="245"/>
      <c r="DO54" s="245"/>
      <c r="DP54" s="245"/>
      <c r="DQ54" s="245"/>
      <c r="DR54" s="245"/>
      <c r="DS54" s="245"/>
      <c r="DT54" s="245"/>
      <c r="DU54" s="245"/>
      <c r="DV54" s="245"/>
      <c r="DW54" s="245"/>
      <c r="DX54" s="245"/>
      <c r="DY54" s="245"/>
      <c r="DZ54" s="245"/>
      <c r="EA54" s="245"/>
      <c r="EB54" s="245"/>
      <c r="EC54" s="245"/>
      <c r="ED54" s="245"/>
      <c r="EE54" s="245"/>
      <c r="EF54" s="245"/>
      <c r="EG54" s="245"/>
      <c r="EH54" s="245"/>
      <c r="EI54" s="245"/>
      <c r="EJ54" s="245"/>
      <c r="EK54" s="245"/>
      <c r="EL54" s="245"/>
      <c r="EM54" s="245"/>
      <c r="EN54" s="245"/>
      <c r="EO54" s="245"/>
      <c r="EP54" s="245"/>
      <c r="EQ54" s="245"/>
      <c r="ER54" s="245"/>
      <c r="ES54" s="245"/>
      <c r="ET54" s="245"/>
      <c r="EU54" s="245"/>
      <c r="EV54" s="245"/>
      <c r="EW54" s="245"/>
      <c r="EX54" s="245"/>
      <c r="EY54" s="245"/>
      <c r="EZ54" s="245"/>
      <c r="FA54" s="245"/>
      <c r="FB54" s="245"/>
      <c r="FC54" s="245"/>
      <c r="FD54" s="245"/>
      <c r="FE54" s="245"/>
      <c r="FF54" s="245"/>
      <c r="FG54" s="245"/>
      <c r="FH54" s="245"/>
      <c r="FI54" s="245"/>
      <c r="FJ54" s="245"/>
      <c r="FK54" s="245"/>
      <c r="FL54" s="245"/>
      <c r="FM54" s="245"/>
      <c r="FN54" s="245"/>
      <c r="FO54" s="245"/>
      <c r="FP54" s="245"/>
      <c r="FQ54" s="245"/>
      <c r="FR54" s="245"/>
      <c r="FS54" s="245"/>
      <c r="FT54" s="245"/>
      <c r="FU54" s="245"/>
      <c r="FV54" s="245"/>
      <c r="FW54" s="245"/>
      <c r="FX54" s="245"/>
      <c r="FY54" s="245"/>
      <c r="FZ54" s="245"/>
      <c r="GA54" s="245"/>
      <c r="GB54" s="245"/>
      <c r="GC54" s="245"/>
      <c r="GD54" s="245"/>
      <c r="GE54" s="245"/>
      <c r="GF54" s="245"/>
      <c r="GG54" s="245"/>
      <c r="GH54" s="245"/>
      <c r="GI54" s="245"/>
      <c r="GJ54" s="245"/>
      <c r="GK54" s="245"/>
      <c r="GL54" s="245"/>
      <c r="GM54" s="245"/>
      <c r="GN54" s="245"/>
      <c r="GO54" s="245"/>
      <c r="GP54" s="245"/>
      <c r="GQ54" s="245"/>
      <c r="GR54" s="245"/>
      <c r="GS54" s="245"/>
      <c r="GT54" s="245"/>
    </row>
    <row r="55" spans="1:202" ht="12.75">
      <c r="A55" s="41"/>
      <c r="B55" s="10" t="s">
        <v>15</v>
      </c>
      <c r="C55" s="112">
        <v>114020</v>
      </c>
      <c r="D55" s="112">
        <v>117409</v>
      </c>
      <c r="E55" s="112">
        <v>118843</v>
      </c>
      <c r="F55" s="112">
        <v>120120</v>
      </c>
      <c r="G55" s="112">
        <v>121939</v>
      </c>
      <c r="H55" s="112">
        <v>123054.7</v>
      </c>
      <c r="I55" s="112">
        <v>122558</v>
      </c>
      <c r="J55" s="310">
        <v>122141</v>
      </c>
      <c r="L55" s="23">
        <v>0.6267204854201509</v>
      </c>
      <c r="M55" s="23">
        <v>0.627455878553555</v>
      </c>
      <c r="N55" s="23">
        <v>0.6228897821483588</v>
      </c>
      <c r="O55" s="23">
        <v>0.6188477808633238</v>
      </c>
      <c r="P55" s="23">
        <v>0.6165333882184306</v>
      </c>
      <c r="Q55" s="23">
        <v>0.613</v>
      </c>
      <c r="R55" s="192">
        <v>0.608</v>
      </c>
      <c r="S55" s="319">
        <v>0.6009567387035705</v>
      </c>
      <c r="T55" s="10"/>
      <c r="U55" s="112">
        <v>2607</v>
      </c>
      <c r="V55" s="112">
        <v>3389</v>
      </c>
      <c r="W55" s="112">
        <v>1434</v>
      </c>
      <c r="X55" s="112">
        <v>1277</v>
      </c>
      <c r="Y55" s="112">
        <v>1819</v>
      </c>
      <c r="Z55" s="112">
        <v>1116</v>
      </c>
      <c r="AA55" s="269">
        <v>-497</v>
      </c>
      <c r="AB55" s="322">
        <v>-417</v>
      </c>
      <c r="AC55" s="11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5"/>
      <c r="BR55" s="245"/>
      <c r="BS55" s="245"/>
      <c r="BT55" s="245"/>
      <c r="BU55" s="245"/>
      <c r="BV55" s="245"/>
      <c r="BW55" s="245"/>
      <c r="BX55" s="245"/>
      <c r="BY55" s="245"/>
      <c r="BZ55" s="245"/>
      <c r="CA55" s="245"/>
      <c r="CB55" s="245"/>
      <c r="CC55" s="245"/>
      <c r="CD55" s="245"/>
      <c r="CE55" s="245"/>
      <c r="CF55" s="245"/>
      <c r="CG55" s="245"/>
      <c r="CH55" s="245"/>
      <c r="CI55" s="245"/>
      <c r="CJ55" s="245"/>
      <c r="CK55" s="245"/>
      <c r="CL55" s="245"/>
      <c r="CM55" s="245"/>
      <c r="CN55" s="245"/>
      <c r="CO55" s="245"/>
      <c r="CP55" s="245"/>
      <c r="CQ55" s="245"/>
      <c r="CR55" s="245"/>
      <c r="CS55" s="245"/>
      <c r="CT55" s="245"/>
      <c r="CU55" s="245"/>
      <c r="CV55" s="245"/>
      <c r="CW55" s="245"/>
      <c r="CX55" s="245"/>
      <c r="CY55" s="245"/>
      <c r="CZ55" s="245"/>
      <c r="DA55" s="245"/>
      <c r="DB55" s="245"/>
      <c r="DC55" s="245"/>
      <c r="DD55" s="245"/>
      <c r="DE55" s="245"/>
      <c r="DF55" s="245"/>
      <c r="DG55" s="245"/>
      <c r="DH55" s="245"/>
      <c r="DI55" s="245"/>
      <c r="DJ55" s="245"/>
      <c r="DK55" s="245"/>
      <c r="DL55" s="245"/>
      <c r="DM55" s="245"/>
      <c r="DN55" s="245"/>
      <c r="DO55" s="245"/>
      <c r="DP55" s="245"/>
      <c r="DQ55" s="245"/>
      <c r="DR55" s="245"/>
      <c r="DS55" s="245"/>
      <c r="DT55" s="245"/>
      <c r="DU55" s="245"/>
      <c r="DV55" s="245"/>
      <c r="DW55" s="245"/>
      <c r="DX55" s="245"/>
      <c r="DY55" s="245"/>
      <c r="DZ55" s="245"/>
      <c r="EA55" s="245"/>
      <c r="EB55" s="245"/>
      <c r="EC55" s="245"/>
      <c r="ED55" s="245"/>
      <c r="EE55" s="245"/>
      <c r="EF55" s="245"/>
      <c r="EG55" s="245"/>
      <c r="EH55" s="245"/>
      <c r="EI55" s="245"/>
      <c r="EJ55" s="245"/>
      <c r="EK55" s="245"/>
      <c r="EL55" s="245"/>
      <c r="EM55" s="245"/>
      <c r="EN55" s="245"/>
      <c r="EO55" s="245"/>
      <c r="EP55" s="245"/>
      <c r="EQ55" s="245"/>
      <c r="ER55" s="245"/>
      <c r="ES55" s="245"/>
      <c r="ET55" s="245"/>
      <c r="EU55" s="245"/>
      <c r="EV55" s="245"/>
      <c r="EW55" s="245"/>
      <c r="EX55" s="245"/>
      <c r="EY55" s="245"/>
      <c r="EZ55" s="245"/>
      <c r="FA55" s="245"/>
      <c r="FB55" s="245"/>
      <c r="FC55" s="245"/>
      <c r="FD55" s="245"/>
      <c r="FE55" s="245"/>
      <c r="FF55" s="245"/>
      <c r="FG55" s="245"/>
      <c r="FH55" s="245"/>
      <c r="FI55" s="245"/>
      <c r="FJ55" s="245"/>
      <c r="FK55" s="245"/>
      <c r="FL55" s="245"/>
      <c r="FM55" s="245"/>
      <c r="FN55" s="245"/>
      <c r="FO55" s="245"/>
      <c r="FP55" s="245"/>
      <c r="FQ55" s="245"/>
      <c r="FR55" s="245"/>
      <c r="FS55" s="245"/>
      <c r="FT55" s="245"/>
      <c r="FU55" s="245"/>
      <c r="FV55" s="245"/>
      <c r="FW55" s="245"/>
      <c r="FX55" s="245"/>
      <c r="FY55" s="245"/>
      <c r="FZ55" s="245"/>
      <c r="GA55" s="245"/>
      <c r="GB55" s="245"/>
      <c r="GC55" s="245"/>
      <c r="GD55" s="245"/>
      <c r="GE55" s="245"/>
      <c r="GF55" s="245"/>
      <c r="GG55" s="245"/>
      <c r="GH55" s="245"/>
      <c r="GI55" s="245"/>
      <c r="GJ55" s="245"/>
      <c r="GK55" s="245"/>
      <c r="GL55" s="245"/>
      <c r="GM55" s="245"/>
      <c r="GN55" s="245"/>
      <c r="GO55" s="245"/>
      <c r="GP55" s="245"/>
      <c r="GQ55" s="245"/>
      <c r="GR55" s="245"/>
      <c r="GS55" s="245"/>
      <c r="GT55" s="245"/>
    </row>
    <row r="56" spans="1:202" ht="12.75">
      <c r="A56" s="41"/>
      <c r="B56" s="10" t="s">
        <v>214</v>
      </c>
      <c r="C56" s="222">
        <v>48770</v>
      </c>
      <c r="D56" s="222">
        <v>50707</v>
      </c>
      <c r="E56" s="222">
        <v>52496</v>
      </c>
      <c r="F56" s="222">
        <v>53897</v>
      </c>
      <c r="G56" s="222">
        <v>56224</v>
      </c>
      <c r="H56" s="222">
        <v>57832</v>
      </c>
      <c r="I56" s="222">
        <v>58372</v>
      </c>
      <c r="J56" s="313">
        <v>64825</v>
      </c>
      <c r="L56" s="23">
        <v>0.8036089692853521</v>
      </c>
      <c r="M56" s="23">
        <v>0.8035032874550602</v>
      </c>
      <c r="N56" s="23">
        <v>0.8020227258936591</v>
      </c>
      <c r="O56" s="23">
        <v>0.8011106959980854</v>
      </c>
      <c r="P56" s="23">
        <v>0.8054053824800032</v>
      </c>
      <c r="Q56" s="23">
        <v>0.8054053824800032</v>
      </c>
      <c r="R56" s="192">
        <v>0.805</v>
      </c>
      <c r="S56" s="319">
        <v>0.8074804678716619</v>
      </c>
      <c r="T56" s="10"/>
      <c r="U56" s="112">
        <v>3160</v>
      </c>
      <c r="V56" s="112">
        <v>1937</v>
      </c>
      <c r="W56" s="112">
        <v>1789</v>
      </c>
      <c r="X56" s="112">
        <v>1371</v>
      </c>
      <c r="Y56" s="112">
        <v>1187</v>
      </c>
      <c r="Z56" s="112">
        <v>1182</v>
      </c>
      <c r="AA56" s="269">
        <v>-118</v>
      </c>
      <c r="AB56" s="322">
        <v>1041</v>
      </c>
      <c r="AC56" s="11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5"/>
      <c r="BR56" s="245"/>
      <c r="BS56" s="245"/>
      <c r="BT56" s="245"/>
      <c r="BU56" s="245"/>
      <c r="BV56" s="245"/>
      <c r="BW56" s="245"/>
      <c r="BX56" s="245"/>
      <c r="BY56" s="245"/>
      <c r="BZ56" s="245"/>
      <c r="CA56" s="245"/>
      <c r="CB56" s="245"/>
      <c r="CC56" s="245"/>
      <c r="CD56" s="245"/>
      <c r="CE56" s="245"/>
      <c r="CF56" s="245"/>
      <c r="CG56" s="245"/>
      <c r="CH56" s="245"/>
      <c r="CI56" s="245"/>
      <c r="CJ56" s="245"/>
      <c r="CK56" s="245"/>
      <c r="CL56" s="245"/>
      <c r="CM56" s="245"/>
      <c r="CN56" s="245"/>
      <c r="CO56" s="245"/>
      <c r="CP56" s="245"/>
      <c r="CQ56" s="245"/>
      <c r="CR56" s="245"/>
      <c r="CS56" s="245"/>
      <c r="CT56" s="245"/>
      <c r="CU56" s="245"/>
      <c r="CV56" s="245"/>
      <c r="CW56" s="245"/>
      <c r="CX56" s="245"/>
      <c r="CY56" s="245"/>
      <c r="CZ56" s="245"/>
      <c r="DA56" s="245"/>
      <c r="DB56" s="245"/>
      <c r="DC56" s="245"/>
      <c r="DD56" s="245"/>
      <c r="DE56" s="245"/>
      <c r="DF56" s="245"/>
      <c r="DG56" s="245"/>
      <c r="DH56" s="245"/>
      <c r="DI56" s="245"/>
      <c r="DJ56" s="245"/>
      <c r="DK56" s="245"/>
      <c r="DL56" s="245"/>
      <c r="DM56" s="245"/>
      <c r="DN56" s="245"/>
      <c r="DO56" s="245"/>
      <c r="DP56" s="245"/>
      <c r="DQ56" s="245"/>
      <c r="DR56" s="245"/>
      <c r="DS56" s="245"/>
      <c r="DT56" s="245"/>
      <c r="DU56" s="245"/>
      <c r="DV56" s="245"/>
      <c r="DW56" s="245"/>
      <c r="DX56" s="245"/>
      <c r="DY56" s="245"/>
      <c r="DZ56" s="245"/>
      <c r="EA56" s="245"/>
      <c r="EB56" s="245"/>
      <c r="EC56" s="245"/>
      <c r="ED56" s="245"/>
      <c r="EE56" s="245"/>
      <c r="EF56" s="245"/>
      <c r="EG56" s="245"/>
      <c r="EH56" s="245"/>
      <c r="EI56" s="245"/>
      <c r="EJ56" s="245"/>
      <c r="EK56" s="245"/>
      <c r="EL56" s="245"/>
      <c r="EM56" s="245"/>
      <c r="EN56" s="245"/>
      <c r="EO56" s="245"/>
      <c r="EP56" s="245"/>
      <c r="EQ56" s="245"/>
      <c r="ER56" s="245"/>
      <c r="ES56" s="245"/>
      <c r="ET56" s="245"/>
      <c r="EU56" s="245"/>
      <c r="EV56" s="245"/>
      <c r="EW56" s="245"/>
      <c r="EX56" s="245"/>
      <c r="EY56" s="245"/>
      <c r="EZ56" s="245"/>
      <c r="FA56" s="245"/>
      <c r="FB56" s="245"/>
      <c r="FC56" s="245"/>
      <c r="FD56" s="245"/>
      <c r="FE56" s="245"/>
      <c r="FF56" s="245"/>
      <c r="FG56" s="245"/>
      <c r="FH56" s="245"/>
      <c r="FI56" s="245"/>
      <c r="FJ56" s="245"/>
      <c r="FK56" s="245"/>
      <c r="FL56" s="245"/>
      <c r="FM56" s="245"/>
      <c r="FN56" s="245"/>
      <c r="FO56" s="245"/>
      <c r="FP56" s="245"/>
      <c r="FQ56" s="245"/>
      <c r="FR56" s="245"/>
      <c r="FS56" s="245"/>
      <c r="FT56" s="245"/>
      <c r="FU56" s="245"/>
      <c r="FV56" s="245"/>
      <c r="FW56" s="245"/>
      <c r="FX56" s="245"/>
      <c r="FY56" s="245"/>
      <c r="FZ56" s="245"/>
      <c r="GA56" s="245"/>
      <c r="GB56" s="245"/>
      <c r="GC56" s="245"/>
      <c r="GD56" s="245"/>
      <c r="GE56" s="245"/>
      <c r="GF56" s="245"/>
      <c r="GG56" s="245"/>
      <c r="GH56" s="245"/>
      <c r="GI56" s="245"/>
      <c r="GJ56" s="245"/>
      <c r="GK56" s="245"/>
      <c r="GL56" s="245"/>
      <c r="GM56" s="245"/>
      <c r="GN56" s="245"/>
      <c r="GO56" s="245"/>
      <c r="GP56" s="245"/>
      <c r="GQ56" s="245"/>
      <c r="GR56" s="245"/>
      <c r="GS56" s="245"/>
      <c r="GT56" s="245"/>
    </row>
    <row r="57" spans="2:202" ht="12.75">
      <c r="B57" s="10" t="s">
        <v>215</v>
      </c>
      <c r="C57" s="222">
        <v>50021</v>
      </c>
      <c r="D57" s="222">
        <v>54617</v>
      </c>
      <c r="E57" s="222">
        <v>58917</v>
      </c>
      <c r="F57" s="222">
        <v>64098</v>
      </c>
      <c r="G57" s="222">
        <v>69492</v>
      </c>
      <c r="H57" s="222">
        <v>75678</v>
      </c>
      <c r="I57" s="222">
        <v>82733</v>
      </c>
      <c r="J57" s="313">
        <v>88836</v>
      </c>
      <c r="L57" s="23">
        <v>0.8243326722275907</v>
      </c>
      <c r="M57" s="23">
        <v>0.8322318815218883</v>
      </c>
      <c r="N57" s="23">
        <v>0.8408172088808068</v>
      </c>
      <c r="O57" s="23">
        <v>0.9759322487286194</v>
      </c>
      <c r="P57" s="23">
        <v>0.9776659911684138</v>
      </c>
      <c r="Q57" s="23">
        <v>0.977</v>
      </c>
      <c r="R57" s="192">
        <v>0.979</v>
      </c>
      <c r="S57" s="319">
        <v>0.9768254300944728</v>
      </c>
      <c r="T57" s="10"/>
      <c r="U57" s="112">
        <v>4871</v>
      </c>
      <c r="V57" s="112">
        <v>4596</v>
      </c>
      <c r="W57" s="112">
        <v>4300</v>
      </c>
      <c r="X57" s="112">
        <v>5211</v>
      </c>
      <c r="Y57" s="112">
        <v>5402</v>
      </c>
      <c r="Z57" s="112">
        <v>6110</v>
      </c>
      <c r="AA57" s="269">
        <v>7055</v>
      </c>
      <c r="AB57" s="322">
        <v>6874</v>
      </c>
      <c r="AC57" s="11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5"/>
      <c r="BR57" s="245"/>
      <c r="BS57" s="245"/>
      <c r="BT57" s="245"/>
      <c r="BU57" s="245"/>
      <c r="BV57" s="245"/>
      <c r="BW57" s="245"/>
      <c r="BX57" s="245"/>
      <c r="BY57" s="245"/>
      <c r="BZ57" s="245"/>
      <c r="CA57" s="245"/>
      <c r="CB57" s="245"/>
      <c r="CC57" s="245"/>
      <c r="CD57" s="245"/>
      <c r="CE57" s="245"/>
      <c r="CF57" s="245"/>
      <c r="CG57" s="245"/>
      <c r="CH57" s="245"/>
      <c r="CI57" s="245"/>
      <c r="CJ57" s="245"/>
      <c r="CK57" s="245"/>
      <c r="CL57" s="245"/>
      <c r="CM57" s="245"/>
      <c r="CN57" s="245"/>
      <c r="CO57" s="245"/>
      <c r="CP57" s="245"/>
      <c r="CQ57" s="245"/>
      <c r="CR57" s="245"/>
      <c r="CS57" s="245"/>
      <c r="CT57" s="245"/>
      <c r="CU57" s="245"/>
      <c r="CV57" s="245"/>
      <c r="CW57" s="245"/>
      <c r="CX57" s="245"/>
      <c r="CY57" s="245"/>
      <c r="CZ57" s="245"/>
      <c r="DA57" s="245"/>
      <c r="DB57" s="245"/>
      <c r="DC57" s="245"/>
      <c r="DD57" s="245"/>
      <c r="DE57" s="245"/>
      <c r="DF57" s="245"/>
      <c r="DG57" s="245"/>
      <c r="DH57" s="245"/>
      <c r="DI57" s="245"/>
      <c r="DJ57" s="245"/>
      <c r="DK57" s="245"/>
      <c r="DL57" s="245"/>
      <c r="DM57" s="245"/>
      <c r="DN57" s="245"/>
      <c r="DO57" s="245"/>
      <c r="DP57" s="245"/>
      <c r="DQ57" s="245"/>
      <c r="DR57" s="245"/>
      <c r="DS57" s="245"/>
      <c r="DT57" s="245"/>
      <c r="DU57" s="245"/>
      <c r="DV57" s="245"/>
      <c r="DW57" s="245"/>
      <c r="DX57" s="245"/>
      <c r="DY57" s="245"/>
      <c r="DZ57" s="245"/>
      <c r="EA57" s="245"/>
      <c r="EB57" s="245"/>
      <c r="EC57" s="245"/>
      <c r="ED57" s="245"/>
      <c r="EE57" s="245"/>
      <c r="EF57" s="245"/>
      <c r="EG57" s="245"/>
      <c r="EH57" s="245"/>
      <c r="EI57" s="245"/>
      <c r="EJ57" s="245"/>
      <c r="EK57" s="245"/>
      <c r="EL57" s="245"/>
      <c r="EM57" s="245"/>
      <c r="EN57" s="245"/>
      <c r="EO57" s="245"/>
      <c r="EP57" s="245"/>
      <c r="EQ57" s="245"/>
      <c r="ER57" s="245"/>
      <c r="ES57" s="245"/>
      <c r="ET57" s="245"/>
      <c r="EU57" s="245"/>
      <c r="EV57" s="245"/>
      <c r="EW57" s="245"/>
      <c r="EX57" s="245"/>
      <c r="EY57" s="245"/>
      <c r="EZ57" s="245"/>
      <c r="FA57" s="245"/>
      <c r="FB57" s="245"/>
      <c r="FC57" s="245"/>
      <c r="FD57" s="245"/>
      <c r="FE57" s="245"/>
      <c r="FF57" s="245"/>
      <c r="FG57" s="245"/>
      <c r="FH57" s="245"/>
      <c r="FI57" s="245"/>
      <c r="FJ57" s="245"/>
      <c r="FK57" s="245"/>
      <c r="FL57" s="245"/>
      <c r="FM57" s="245"/>
      <c r="FN57" s="245"/>
      <c r="FO57" s="245"/>
      <c r="FP57" s="245"/>
      <c r="FQ57" s="245"/>
      <c r="FR57" s="245"/>
      <c r="FS57" s="245"/>
      <c r="FT57" s="245"/>
      <c r="FU57" s="245"/>
      <c r="FV57" s="245"/>
      <c r="FW57" s="245"/>
      <c r="FX57" s="245"/>
      <c r="FY57" s="245"/>
      <c r="FZ57" s="245"/>
      <c r="GA57" s="245"/>
      <c r="GB57" s="245"/>
      <c r="GC57" s="245"/>
      <c r="GD57" s="245"/>
      <c r="GE57" s="245"/>
      <c r="GF57" s="245"/>
      <c r="GG57" s="245"/>
      <c r="GH57" s="245"/>
      <c r="GI57" s="245"/>
      <c r="GJ57" s="245"/>
      <c r="GK57" s="245"/>
      <c r="GL57" s="245"/>
      <c r="GM57" s="245"/>
      <c r="GN57" s="245"/>
      <c r="GO57" s="245"/>
      <c r="GP57" s="245"/>
      <c r="GQ57" s="245"/>
      <c r="GR57" s="245"/>
      <c r="GS57" s="245"/>
      <c r="GT57" s="245"/>
    </row>
    <row r="58" spans="2:202" ht="12.75">
      <c r="B58" s="10" t="s">
        <v>193</v>
      </c>
      <c r="C58" s="112">
        <v>28664</v>
      </c>
      <c r="D58" s="112">
        <v>29568</v>
      </c>
      <c r="E58" s="112">
        <v>30230</v>
      </c>
      <c r="F58" s="112">
        <v>30907</v>
      </c>
      <c r="G58" s="112">
        <v>31864</v>
      </c>
      <c r="H58" s="112">
        <v>32425</v>
      </c>
      <c r="I58" s="112">
        <v>38948</v>
      </c>
      <c r="J58" s="310">
        <v>39462</v>
      </c>
      <c r="L58" s="23">
        <v>0.05234385420154443</v>
      </c>
      <c r="M58" s="23">
        <v>0.05519671336535141</v>
      </c>
      <c r="N58" s="23">
        <v>0.05642549307854238</v>
      </c>
      <c r="O58" s="23">
        <v>0.055365172586279314</v>
      </c>
      <c r="P58" s="23">
        <v>0.05387622216080417</v>
      </c>
      <c r="Q58" s="23">
        <v>0.05387622216080417</v>
      </c>
      <c r="R58" s="192">
        <v>0.07</v>
      </c>
      <c r="S58" s="319">
        <v>0.07014014589078525</v>
      </c>
      <c r="T58" s="10"/>
      <c r="U58" s="112">
        <v>739</v>
      </c>
      <c r="V58" s="112">
        <v>904</v>
      </c>
      <c r="W58" s="112">
        <v>662</v>
      </c>
      <c r="X58" s="112">
        <v>656</v>
      </c>
      <c r="Y58" s="112">
        <v>665</v>
      </c>
      <c r="Z58" s="112">
        <v>616</v>
      </c>
      <c r="AA58" s="269">
        <v>574</v>
      </c>
      <c r="AB58" s="322">
        <v>514</v>
      </c>
      <c r="AC58" s="11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5"/>
      <c r="BR58" s="245"/>
      <c r="BS58" s="245"/>
      <c r="BT58" s="245"/>
      <c r="BU58" s="245"/>
      <c r="BV58" s="245"/>
      <c r="BW58" s="245"/>
      <c r="BX58" s="245"/>
      <c r="BY58" s="245"/>
      <c r="BZ58" s="245"/>
      <c r="CA58" s="245"/>
      <c r="CB58" s="245"/>
      <c r="CC58" s="245"/>
      <c r="CD58" s="245"/>
      <c r="CE58" s="245"/>
      <c r="CF58" s="245"/>
      <c r="CG58" s="245"/>
      <c r="CH58" s="245"/>
      <c r="CI58" s="245"/>
      <c r="CJ58" s="245"/>
      <c r="CK58" s="245"/>
      <c r="CL58" s="245"/>
      <c r="CM58" s="245"/>
      <c r="CN58" s="245"/>
      <c r="CO58" s="245"/>
      <c r="CP58" s="245"/>
      <c r="CQ58" s="245"/>
      <c r="CR58" s="245"/>
      <c r="CS58" s="245"/>
      <c r="CT58" s="245"/>
      <c r="CU58" s="245"/>
      <c r="CV58" s="245"/>
      <c r="CW58" s="245"/>
      <c r="CX58" s="245"/>
      <c r="CY58" s="245"/>
      <c r="CZ58" s="245"/>
      <c r="DA58" s="245"/>
      <c r="DB58" s="245"/>
      <c r="DC58" s="245"/>
      <c r="DD58" s="245"/>
      <c r="DE58" s="245"/>
      <c r="DF58" s="245"/>
      <c r="DG58" s="245"/>
      <c r="DH58" s="245"/>
      <c r="DI58" s="245"/>
      <c r="DJ58" s="245"/>
      <c r="DK58" s="245"/>
      <c r="DL58" s="245"/>
      <c r="DM58" s="245"/>
      <c r="DN58" s="245"/>
      <c r="DO58" s="245"/>
      <c r="DP58" s="245"/>
      <c r="DQ58" s="245"/>
      <c r="DR58" s="245"/>
      <c r="DS58" s="245"/>
      <c r="DT58" s="245"/>
      <c r="DU58" s="245"/>
      <c r="DV58" s="245"/>
      <c r="DW58" s="245"/>
      <c r="DX58" s="245"/>
      <c r="DY58" s="245"/>
      <c r="DZ58" s="245"/>
      <c r="EA58" s="245"/>
      <c r="EB58" s="245"/>
      <c r="EC58" s="245"/>
      <c r="ED58" s="245"/>
      <c r="EE58" s="245"/>
      <c r="EF58" s="245"/>
      <c r="EG58" s="245"/>
      <c r="EH58" s="245"/>
      <c r="EI58" s="245"/>
      <c r="EJ58" s="245"/>
      <c r="EK58" s="245"/>
      <c r="EL58" s="245"/>
      <c r="EM58" s="245"/>
      <c r="EN58" s="245"/>
      <c r="EO58" s="245"/>
      <c r="EP58" s="245"/>
      <c r="EQ58" s="245"/>
      <c r="ER58" s="245"/>
      <c r="ES58" s="245"/>
      <c r="ET58" s="245"/>
      <c r="EU58" s="245"/>
      <c r="EV58" s="245"/>
      <c r="EW58" s="245"/>
      <c r="EX58" s="245"/>
      <c r="EY58" s="245"/>
      <c r="EZ58" s="245"/>
      <c r="FA58" s="245"/>
      <c r="FB58" s="245"/>
      <c r="FC58" s="245"/>
      <c r="FD58" s="245"/>
      <c r="FE58" s="245"/>
      <c r="FF58" s="245"/>
      <c r="FG58" s="245"/>
      <c r="FH58" s="245"/>
      <c r="FI58" s="245"/>
      <c r="FJ58" s="245"/>
      <c r="FK58" s="245"/>
      <c r="FL58" s="245"/>
      <c r="FM58" s="245"/>
      <c r="FN58" s="245"/>
      <c r="FO58" s="245"/>
      <c r="FP58" s="245"/>
      <c r="FQ58" s="245"/>
      <c r="FR58" s="245"/>
      <c r="FS58" s="245"/>
      <c r="FT58" s="245"/>
      <c r="FU58" s="245"/>
      <c r="FV58" s="245"/>
      <c r="FW58" s="245"/>
      <c r="FX58" s="245"/>
      <c r="FY58" s="245"/>
      <c r="FZ58" s="245"/>
      <c r="GA58" s="245"/>
      <c r="GB58" s="245"/>
      <c r="GC58" s="245"/>
      <c r="GD58" s="245"/>
      <c r="GE58" s="245"/>
      <c r="GF58" s="245"/>
      <c r="GG58" s="245"/>
      <c r="GH58" s="245"/>
      <c r="GI58" s="245"/>
      <c r="GJ58" s="245"/>
      <c r="GK58" s="245"/>
      <c r="GL58" s="245"/>
      <c r="GM58" s="245"/>
      <c r="GN58" s="245"/>
      <c r="GO58" s="245"/>
      <c r="GP58" s="245"/>
      <c r="GQ58" s="245"/>
      <c r="GR58" s="245"/>
      <c r="GS58" s="245"/>
      <c r="GT58" s="245"/>
    </row>
    <row r="59" spans="1:202" s="41" customFormat="1" ht="13.5" thickBot="1">
      <c r="A59" s="14"/>
      <c r="C59" s="309">
        <v>241475</v>
      </c>
      <c r="D59" s="309">
        <v>252301</v>
      </c>
      <c r="E59" s="309">
        <v>260486</v>
      </c>
      <c r="F59" s="309">
        <v>269022</v>
      </c>
      <c r="G59" s="309">
        <v>279519</v>
      </c>
      <c r="H59" s="309">
        <v>288989.7</v>
      </c>
      <c r="I59" s="309">
        <v>302611</v>
      </c>
      <c r="J59" s="114">
        <v>315264</v>
      </c>
      <c r="L59" s="316">
        <v>0.7190921682750787</v>
      </c>
      <c r="M59" s="316">
        <v>0.7269313004996228</v>
      </c>
      <c r="N59" s="316">
        <v>0.7350393879962333</v>
      </c>
      <c r="O59" s="316">
        <v>0.825447947067971</v>
      </c>
      <c r="P59" s="316">
        <v>0.8303497904457693</v>
      </c>
      <c r="Q59" s="316">
        <v>0.834</v>
      </c>
      <c r="R59" s="317">
        <v>0.83</v>
      </c>
      <c r="S59" s="270">
        <v>0.832210969016882</v>
      </c>
      <c r="U59" s="309">
        <v>11377</v>
      </c>
      <c r="V59" s="309">
        <v>10826</v>
      </c>
      <c r="W59" s="309">
        <v>8185</v>
      </c>
      <c r="X59" s="309">
        <v>8515</v>
      </c>
      <c r="Y59" s="309">
        <v>9073</v>
      </c>
      <c r="Z59" s="309">
        <v>9024</v>
      </c>
      <c r="AA59" s="320">
        <f>SUM(AA55:AA58)</f>
        <v>7014</v>
      </c>
      <c r="AB59" s="278">
        <f>SUM(AB55:AB58)</f>
        <v>8012</v>
      </c>
      <c r="AC59" s="116"/>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245"/>
      <c r="BS59" s="245"/>
      <c r="BT59" s="245"/>
      <c r="BU59" s="245"/>
      <c r="BV59" s="245"/>
      <c r="BW59" s="245"/>
      <c r="BX59" s="245"/>
      <c r="BY59" s="245"/>
      <c r="BZ59" s="245"/>
      <c r="CA59" s="245"/>
      <c r="CB59" s="245"/>
      <c r="CC59" s="245"/>
      <c r="CD59" s="245"/>
      <c r="CE59" s="245"/>
      <c r="CF59" s="245"/>
      <c r="CG59" s="245"/>
      <c r="CH59" s="245"/>
      <c r="CI59" s="245"/>
      <c r="CJ59" s="245"/>
      <c r="CK59" s="245"/>
      <c r="CL59" s="245"/>
      <c r="CM59" s="245"/>
      <c r="CN59" s="245"/>
      <c r="CO59" s="245"/>
      <c r="CP59" s="245"/>
      <c r="CQ59" s="245"/>
      <c r="CR59" s="245"/>
      <c r="CS59" s="245"/>
      <c r="CT59" s="245"/>
      <c r="CU59" s="245"/>
      <c r="CV59" s="245"/>
      <c r="CW59" s="245"/>
      <c r="CX59" s="245"/>
      <c r="CY59" s="245"/>
      <c r="CZ59" s="245"/>
      <c r="DA59" s="245"/>
      <c r="DB59" s="245"/>
      <c r="DC59" s="245"/>
      <c r="DD59" s="245"/>
      <c r="DE59" s="245"/>
      <c r="DF59" s="245"/>
      <c r="DG59" s="245"/>
      <c r="DH59" s="245"/>
      <c r="DI59" s="245"/>
      <c r="DJ59" s="245"/>
      <c r="DK59" s="245"/>
      <c r="DL59" s="245"/>
      <c r="DM59" s="245"/>
      <c r="DN59" s="245"/>
      <c r="DO59" s="245"/>
      <c r="DP59" s="245"/>
      <c r="DQ59" s="245"/>
      <c r="DR59" s="245"/>
      <c r="DS59" s="245"/>
      <c r="DT59" s="245"/>
      <c r="DU59" s="245"/>
      <c r="DV59" s="245"/>
      <c r="DW59" s="245"/>
      <c r="DX59" s="245"/>
      <c r="DY59" s="245"/>
      <c r="DZ59" s="245"/>
      <c r="EA59" s="245"/>
      <c r="EB59" s="245"/>
      <c r="EC59" s="245"/>
      <c r="ED59" s="245"/>
      <c r="EE59" s="245"/>
      <c r="EF59" s="245"/>
      <c r="EG59" s="245"/>
      <c r="EH59" s="245"/>
      <c r="EI59" s="245"/>
      <c r="EJ59" s="245"/>
      <c r="EK59" s="245"/>
      <c r="EL59" s="245"/>
      <c r="EM59" s="245"/>
      <c r="EN59" s="245"/>
      <c r="EO59" s="245"/>
      <c r="EP59" s="245"/>
      <c r="EQ59" s="245"/>
      <c r="ER59" s="245"/>
      <c r="ES59" s="245"/>
      <c r="ET59" s="245"/>
      <c r="EU59" s="245"/>
      <c r="EV59" s="245"/>
      <c r="EW59" s="245"/>
      <c r="EX59" s="245"/>
      <c r="EY59" s="245"/>
      <c r="EZ59" s="245"/>
      <c r="FA59" s="245"/>
      <c r="FB59" s="245"/>
      <c r="FC59" s="245"/>
      <c r="FD59" s="245"/>
      <c r="FE59" s="245"/>
      <c r="FF59" s="245"/>
      <c r="FG59" s="245"/>
      <c r="FH59" s="245"/>
      <c r="FI59" s="245"/>
      <c r="FJ59" s="245"/>
      <c r="FK59" s="245"/>
      <c r="FL59" s="245"/>
      <c r="FM59" s="245"/>
      <c r="FN59" s="245"/>
      <c r="FO59" s="245"/>
      <c r="FP59" s="245"/>
      <c r="FQ59" s="245"/>
      <c r="FR59" s="245"/>
      <c r="FS59" s="245"/>
      <c r="FT59" s="245"/>
      <c r="FU59" s="245"/>
      <c r="FV59" s="245"/>
      <c r="FW59" s="245"/>
      <c r="FX59" s="245"/>
      <c r="FY59" s="245"/>
      <c r="FZ59" s="245"/>
      <c r="GA59" s="245"/>
      <c r="GB59" s="245"/>
      <c r="GC59" s="245"/>
      <c r="GD59" s="245"/>
      <c r="GE59" s="245"/>
      <c r="GF59" s="245"/>
      <c r="GG59" s="245"/>
      <c r="GH59" s="245"/>
      <c r="GI59" s="245"/>
      <c r="GJ59" s="245"/>
      <c r="GK59" s="245"/>
      <c r="GL59" s="245"/>
      <c r="GM59" s="245"/>
      <c r="GN59" s="245"/>
      <c r="GO59" s="245"/>
      <c r="GP59" s="245"/>
      <c r="GQ59" s="245"/>
      <c r="GR59" s="245"/>
      <c r="GS59" s="245"/>
      <c r="GT59" s="245"/>
    </row>
    <row r="60" spans="1:28" s="41" customFormat="1" ht="13.5" thickTop="1">
      <c r="A60" s="14"/>
      <c r="C60" s="118"/>
      <c r="D60" s="118"/>
      <c r="E60" s="118"/>
      <c r="F60" s="118"/>
      <c r="G60" s="118"/>
      <c r="H60" s="118"/>
      <c r="I60" s="118"/>
      <c r="J60" s="118"/>
      <c r="L60" s="42"/>
      <c r="M60" s="42"/>
      <c r="N60" s="42"/>
      <c r="O60" s="42"/>
      <c r="P60" s="42"/>
      <c r="Q60" s="42"/>
      <c r="R60" s="42"/>
      <c r="S60" s="168"/>
      <c r="U60" s="118"/>
      <c r="V60" s="118"/>
      <c r="W60" s="118"/>
      <c r="X60" s="118"/>
      <c r="Y60" s="118"/>
      <c r="Z60" s="118"/>
      <c r="AA60" s="118"/>
      <c r="AB60" s="280"/>
    </row>
    <row r="61" spans="1:28" s="41" customFormat="1" ht="12.75">
      <c r="A61" s="9" t="s">
        <v>96</v>
      </c>
      <c r="C61" s="118"/>
      <c r="D61" s="118"/>
      <c r="E61" s="118"/>
      <c r="F61" s="118"/>
      <c r="G61" s="118"/>
      <c r="H61" s="118"/>
      <c r="I61" s="118"/>
      <c r="J61" s="118"/>
      <c r="L61" s="42"/>
      <c r="M61" s="42"/>
      <c r="N61" s="42"/>
      <c r="O61" s="42"/>
      <c r="P61" s="42"/>
      <c r="Q61" s="42"/>
      <c r="R61" s="42"/>
      <c r="S61" s="168"/>
      <c r="U61" s="118"/>
      <c r="V61" s="118"/>
      <c r="W61" s="118"/>
      <c r="X61" s="118"/>
      <c r="Y61" s="118"/>
      <c r="Z61" s="118"/>
      <c r="AA61" s="118"/>
      <c r="AB61" s="280"/>
    </row>
    <row r="62" spans="1:28" ht="12.75">
      <c r="A62" s="47" t="s">
        <v>99</v>
      </c>
      <c r="B62" s="107" t="s">
        <v>153</v>
      </c>
      <c r="G62" s="107"/>
      <c r="I62" s="107"/>
      <c r="J62" s="107"/>
      <c r="R62" s="10"/>
      <c r="S62" s="5"/>
      <c r="T62" s="10"/>
      <c r="U62" s="117"/>
      <c r="V62" s="117"/>
      <c r="W62" s="117"/>
      <c r="Z62" s="117"/>
      <c r="AA62" s="117"/>
      <c r="AB62" s="281"/>
    </row>
    <row r="63" spans="1:28" ht="12.75">
      <c r="A63" s="47" t="s">
        <v>100</v>
      </c>
      <c r="B63" s="107" t="s">
        <v>275</v>
      </c>
      <c r="G63" s="107"/>
      <c r="I63" s="107"/>
      <c r="J63" s="107"/>
      <c r="R63" s="10"/>
      <c r="S63" s="5"/>
      <c r="T63" s="10"/>
      <c r="Z63" s="107"/>
      <c r="AA63" s="107"/>
      <c r="AB63" s="271"/>
    </row>
    <row r="64" spans="1:17" ht="12.75" customHeight="1">
      <c r="A64" s="47" t="s">
        <v>101</v>
      </c>
      <c r="B64" s="342" t="s">
        <v>240</v>
      </c>
      <c r="C64" s="342"/>
      <c r="D64" s="342"/>
      <c r="E64" s="342"/>
      <c r="F64" s="342"/>
      <c r="G64" s="342"/>
      <c r="H64" s="342"/>
      <c r="I64" s="342"/>
      <c r="J64" s="342"/>
      <c r="K64" s="342"/>
      <c r="L64" s="342"/>
      <c r="M64" s="342"/>
      <c r="N64" s="342"/>
      <c r="O64" s="342"/>
      <c r="P64" s="342"/>
      <c r="Q64" s="342"/>
    </row>
    <row r="65" spans="2:17" ht="12.75">
      <c r="B65" s="342"/>
      <c r="C65" s="342"/>
      <c r="D65" s="342"/>
      <c r="E65" s="342"/>
      <c r="F65" s="342"/>
      <c r="G65" s="342"/>
      <c r="H65" s="342"/>
      <c r="I65" s="342"/>
      <c r="J65" s="342"/>
      <c r="K65" s="342"/>
      <c r="L65" s="342"/>
      <c r="M65" s="342"/>
      <c r="N65" s="342"/>
      <c r="O65" s="342"/>
      <c r="P65" s="342"/>
      <c r="Q65" s="342"/>
    </row>
    <row r="66" spans="1:28" ht="14.25" customHeight="1">
      <c r="A66" s="47" t="s">
        <v>102</v>
      </c>
      <c r="B66" s="342" t="s">
        <v>279</v>
      </c>
      <c r="C66" s="342"/>
      <c r="D66" s="342"/>
      <c r="E66" s="342"/>
      <c r="F66" s="342"/>
      <c r="G66" s="342"/>
      <c r="H66" s="342"/>
      <c r="I66" s="342"/>
      <c r="J66" s="342"/>
      <c r="K66" s="342"/>
      <c r="L66" s="342"/>
      <c r="M66" s="342"/>
      <c r="N66" s="342"/>
      <c r="O66" s="342"/>
      <c r="P66" s="342"/>
      <c r="Q66" s="342"/>
      <c r="S66" s="271"/>
      <c r="T66" s="10"/>
      <c r="U66" s="10"/>
      <c r="V66" s="10"/>
      <c r="W66" s="10"/>
      <c r="X66" s="10"/>
      <c r="Y66" s="10"/>
      <c r="AB66" s="5"/>
    </row>
    <row r="67" spans="1:28" ht="14.25" customHeight="1">
      <c r="A67" s="47"/>
      <c r="B67" s="342"/>
      <c r="C67" s="342"/>
      <c r="D67" s="342"/>
      <c r="E67" s="342"/>
      <c r="F67" s="342"/>
      <c r="G67" s="342"/>
      <c r="H67" s="342"/>
      <c r="I67" s="342"/>
      <c r="J67" s="342"/>
      <c r="K67" s="342"/>
      <c r="L67" s="342"/>
      <c r="M67" s="342"/>
      <c r="N67" s="342"/>
      <c r="O67" s="342"/>
      <c r="P67" s="342"/>
      <c r="Q67" s="342"/>
      <c r="S67" s="271"/>
      <c r="T67" s="10"/>
      <c r="U67" s="10"/>
      <c r="V67" s="10"/>
      <c r="W67" s="10"/>
      <c r="X67" s="10"/>
      <c r="Y67" s="10"/>
      <c r="AB67" s="5"/>
    </row>
  </sheetData>
  <mergeCells count="5">
    <mergeCell ref="U1:AB1"/>
    <mergeCell ref="B64:Q65"/>
    <mergeCell ref="B66:Q67"/>
    <mergeCell ref="C1:J1"/>
    <mergeCell ref="L1:S1"/>
  </mergeCells>
  <conditionalFormatting sqref="U56:U57 C56:J57">
    <cfRule type="cellIs" priority="1" dxfId="0" operator="lessThan" stopIfTrue="1">
      <formula>0</formula>
    </cfRule>
  </conditionalFormatting>
  <printOptions/>
  <pageMargins left="0.7480314960629921" right="0.4" top="0.984251968503937" bottom="0.984251968503937" header="0.5118110236220472" footer="0.5118110236220472"/>
  <pageSetup fitToHeight="1" fitToWidth="1" horizontalDpi="600" verticalDpi="600" orientation="landscape" paperSize="9" scale="46" r:id="rId1"/>
  <headerFooter alignWithMargins="0">
    <oddHeader>&amp;L&amp;"Vodafone Rg,Regular"Vodafone Group Plc&amp;C&amp;"Vodafone Rg,Regular"&amp;A</oddHead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AB36"/>
  <sheetViews>
    <sheetView showGridLines="0" showZeros="0" view="pageBreakPreview" zoomScaleSheetLayoutView="100" workbookViewId="0" topLeftCell="A1">
      <pane xSplit="2" ySplit="1" topLeftCell="C2" activePane="bottomRight" state="frozen"/>
      <selection pane="topLeft" activeCell="B61" sqref="B61:R70"/>
      <selection pane="topRight" activeCell="B61" sqref="B61:R70"/>
      <selection pane="bottomLeft" activeCell="B61" sqref="B61:R70"/>
      <selection pane="bottomRight" activeCell="A1" sqref="A1"/>
    </sheetView>
  </sheetViews>
  <sheetFormatPr defaultColWidth="9.140625" defaultRowHeight="12.75"/>
  <cols>
    <col min="1" max="1" width="4.28125" style="41" customWidth="1"/>
    <col min="2" max="2" width="27.8515625" style="10" customWidth="1"/>
    <col min="3" max="10" width="11.140625" style="107" bestFit="1" customWidth="1"/>
    <col min="11" max="11" width="2.7109375" style="10" customWidth="1"/>
    <col min="12" max="18" width="9.7109375" style="10" customWidth="1"/>
    <col min="19" max="19" width="9.7109375" style="5" customWidth="1"/>
    <col min="20" max="20" width="2.7109375" style="10" customWidth="1"/>
    <col min="21" max="27" width="9.7109375" style="107" customWidth="1"/>
    <col min="28" max="28" width="9.7109375" style="271" customWidth="1"/>
    <col min="29" max="29" width="4.140625" style="10" customWidth="1"/>
    <col min="30" max="16384" width="9.140625" style="10" customWidth="1"/>
  </cols>
  <sheetData>
    <row r="1" spans="1:28" ht="12.75">
      <c r="A1" s="14"/>
      <c r="C1" s="90"/>
      <c r="D1" s="90"/>
      <c r="E1" s="90"/>
      <c r="F1" s="90"/>
      <c r="G1" s="90"/>
      <c r="H1" s="90"/>
      <c r="I1" s="10"/>
      <c r="J1" s="10"/>
      <c r="S1" s="10"/>
      <c r="U1" s="10"/>
      <c r="V1" s="10"/>
      <c r="W1" s="10"/>
      <c r="X1" s="10"/>
      <c r="Y1" s="10"/>
      <c r="Z1" s="10"/>
      <c r="AA1" s="10"/>
      <c r="AB1" s="10"/>
    </row>
    <row r="2" spans="1:10" s="92" customFormat="1" ht="12.75">
      <c r="A2" s="120"/>
      <c r="C2" s="91" t="s">
        <v>107</v>
      </c>
      <c r="D2" s="91" t="s">
        <v>108</v>
      </c>
      <c r="E2" s="91" t="s">
        <v>109</v>
      </c>
      <c r="F2" s="91" t="s">
        <v>163</v>
      </c>
      <c r="G2" s="91" t="s">
        <v>164</v>
      </c>
      <c r="H2" s="91" t="s">
        <v>189</v>
      </c>
      <c r="I2" s="91" t="s">
        <v>195</v>
      </c>
      <c r="J2" s="91" t="s">
        <v>246</v>
      </c>
    </row>
    <row r="3" spans="1:10" s="92" customFormat="1" ht="12.75">
      <c r="A3" s="244" t="s">
        <v>137</v>
      </c>
      <c r="C3" s="91"/>
      <c r="D3" s="91"/>
      <c r="E3" s="91"/>
      <c r="F3" s="91"/>
      <c r="G3" s="91"/>
      <c r="H3" s="91"/>
      <c r="I3" s="91"/>
      <c r="J3" s="91"/>
    </row>
    <row r="4" spans="1:10" s="92" customFormat="1" ht="12.75">
      <c r="A4" s="120"/>
      <c r="C4" s="91"/>
      <c r="D4" s="91"/>
      <c r="E4" s="91"/>
      <c r="F4" s="91"/>
      <c r="G4" s="91"/>
      <c r="H4" s="91"/>
      <c r="I4" s="91"/>
      <c r="J4" s="91"/>
    </row>
    <row r="5" spans="1:28" ht="12.75">
      <c r="A5" s="41" t="s">
        <v>16</v>
      </c>
      <c r="C5" s="134"/>
      <c r="D5" s="134"/>
      <c r="E5" s="134"/>
      <c r="F5" s="134"/>
      <c r="G5" s="134"/>
      <c r="H5" s="134"/>
      <c r="I5" s="134"/>
      <c r="J5" s="134"/>
      <c r="S5" s="10"/>
      <c r="U5" s="10"/>
      <c r="V5" s="10"/>
      <c r="W5" s="10"/>
      <c r="X5" s="10"/>
      <c r="Y5" s="10"/>
      <c r="Z5" s="10"/>
      <c r="AA5" s="10"/>
      <c r="AB5" s="10"/>
    </row>
    <row r="6" spans="2:28" ht="12.75">
      <c r="B6" s="10" t="s">
        <v>120</v>
      </c>
      <c r="C6" s="134">
        <v>0.208</v>
      </c>
      <c r="D6" s="134">
        <v>0.201</v>
      </c>
      <c r="E6" s="134">
        <v>0.226</v>
      </c>
      <c r="F6" s="134">
        <v>0.21</v>
      </c>
      <c r="G6" s="134">
        <v>0.189</v>
      </c>
      <c r="H6" s="134">
        <v>0.288</v>
      </c>
      <c r="I6" s="134">
        <v>0.289</v>
      </c>
      <c r="J6" s="325">
        <v>0.27887318316189813</v>
      </c>
      <c r="S6" s="10"/>
      <c r="U6" s="10"/>
      <c r="V6" s="10"/>
      <c r="W6" s="10"/>
      <c r="X6" s="10"/>
      <c r="Y6" s="10"/>
      <c r="Z6" s="10"/>
      <c r="AA6" s="10"/>
      <c r="AB6" s="10"/>
    </row>
    <row r="7" spans="2:28" ht="12.75">
      <c r="B7" s="10" t="s">
        <v>121</v>
      </c>
      <c r="C7" s="134">
        <v>0.147</v>
      </c>
      <c r="D7" s="134">
        <v>0.145</v>
      </c>
      <c r="E7" s="134">
        <v>0.151</v>
      </c>
      <c r="F7" s="134">
        <v>0.16</v>
      </c>
      <c r="G7" s="134">
        <v>0.156</v>
      </c>
      <c r="H7" s="134">
        <v>0.152</v>
      </c>
      <c r="I7" s="134">
        <v>0.153</v>
      </c>
      <c r="J7" s="325">
        <v>0.16031443232285683</v>
      </c>
      <c r="S7" s="10"/>
      <c r="U7" s="10"/>
      <c r="V7" s="10"/>
      <c r="W7" s="10"/>
      <c r="X7" s="10"/>
      <c r="Y7" s="10"/>
      <c r="Z7" s="10"/>
      <c r="AA7" s="10"/>
      <c r="AB7" s="10"/>
    </row>
    <row r="8" spans="2:28" ht="12.75">
      <c r="B8" s="10" t="s">
        <v>122</v>
      </c>
      <c r="C8" s="134">
        <v>0.26</v>
      </c>
      <c r="D8" s="134">
        <v>0.247</v>
      </c>
      <c r="E8" s="134">
        <v>0.285</v>
      </c>
      <c r="F8" s="134">
        <v>0.249</v>
      </c>
      <c r="G8" s="134">
        <v>0.215</v>
      </c>
      <c r="H8" s="134">
        <v>0.394</v>
      </c>
      <c r="I8" s="134">
        <v>0.399</v>
      </c>
      <c r="J8" s="325">
        <v>0.3776488846111136</v>
      </c>
      <c r="S8" s="10"/>
      <c r="U8" s="10"/>
      <c r="V8" s="10"/>
      <c r="W8" s="10"/>
      <c r="X8" s="10"/>
      <c r="Y8" s="10"/>
      <c r="Z8" s="10"/>
      <c r="AA8" s="10"/>
      <c r="AB8" s="10"/>
    </row>
    <row r="9" spans="3:28" ht="12.75">
      <c r="C9" s="134"/>
      <c r="D9" s="134"/>
      <c r="E9" s="134"/>
      <c r="F9" s="134"/>
      <c r="G9" s="134"/>
      <c r="H9" s="134"/>
      <c r="I9" s="134"/>
      <c r="J9" s="325"/>
      <c r="S9" s="10"/>
      <c r="U9" s="10"/>
      <c r="V9" s="10"/>
      <c r="W9" s="10"/>
      <c r="X9" s="10"/>
      <c r="Y9" s="10"/>
      <c r="Z9" s="10"/>
      <c r="AA9" s="10"/>
      <c r="AB9" s="10"/>
    </row>
    <row r="10" spans="1:28" ht="12.75">
      <c r="A10" s="41" t="s">
        <v>131</v>
      </c>
      <c r="C10" s="90"/>
      <c r="D10" s="90"/>
      <c r="E10" s="90"/>
      <c r="F10" s="90"/>
      <c r="G10" s="90"/>
      <c r="H10" s="90"/>
      <c r="I10" s="90"/>
      <c r="J10" s="91"/>
      <c r="S10" s="10"/>
      <c r="U10" s="10"/>
      <c r="V10" s="10"/>
      <c r="W10" s="10"/>
      <c r="X10" s="10"/>
      <c r="Y10" s="10"/>
      <c r="Z10" s="10"/>
      <c r="AA10" s="10"/>
      <c r="AB10" s="10"/>
    </row>
    <row r="11" spans="2:28" ht="12.75">
      <c r="B11" s="10" t="s">
        <v>120</v>
      </c>
      <c r="C11" s="134">
        <v>0.25</v>
      </c>
      <c r="D11" s="134">
        <v>0.241</v>
      </c>
      <c r="E11" s="134">
        <v>0.275</v>
      </c>
      <c r="F11" s="134">
        <v>0.271</v>
      </c>
      <c r="G11" s="134">
        <v>0.303</v>
      </c>
      <c r="H11" s="134">
        <v>0.272</v>
      </c>
      <c r="I11" s="134">
        <v>0.27</v>
      </c>
      <c r="J11" s="325">
        <v>0.2687072795505433</v>
      </c>
      <c r="S11" s="10"/>
      <c r="U11" s="10"/>
      <c r="V11" s="10"/>
      <c r="W11" s="10"/>
      <c r="X11" s="10"/>
      <c r="Y11" s="10"/>
      <c r="Z11" s="10"/>
      <c r="AA11" s="10"/>
      <c r="AB11" s="10"/>
    </row>
    <row r="12" spans="2:28" ht="12.75">
      <c r="B12" s="10" t="s">
        <v>121</v>
      </c>
      <c r="C12" s="134">
        <v>0.147</v>
      </c>
      <c r="D12" s="134">
        <v>0.175</v>
      </c>
      <c r="E12" s="134">
        <v>0.181</v>
      </c>
      <c r="F12" s="134">
        <v>0.176</v>
      </c>
      <c r="G12" s="134">
        <v>0.158</v>
      </c>
      <c r="H12" s="134">
        <v>0.173</v>
      </c>
      <c r="I12" s="134">
        <v>0.169</v>
      </c>
      <c r="J12" s="325">
        <v>0.19835014023399972</v>
      </c>
      <c r="S12" s="10"/>
      <c r="U12" s="10"/>
      <c r="V12" s="10"/>
      <c r="W12" s="10"/>
      <c r="X12" s="10"/>
      <c r="Y12" s="10"/>
      <c r="Z12" s="10"/>
      <c r="AA12" s="10"/>
      <c r="AB12" s="10"/>
    </row>
    <row r="13" spans="2:28" ht="12.75">
      <c r="B13" s="10" t="s">
        <v>122</v>
      </c>
      <c r="C13" s="134">
        <v>0.259</v>
      </c>
      <c r="D13" s="134">
        <v>0.248</v>
      </c>
      <c r="E13" s="134">
        <v>0.284</v>
      </c>
      <c r="F13" s="134">
        <v>0.282</v>
      </c>
      <c r="G13" s="134">
        <v>0.32</v>
      </c>
      <c r="H13" s="134">
        <v>0.285</v>
      </c>
      <c r="I13" s="134">
        <v>0.283</v>
      </c>
      <c r="J13" s="325">
        <v>0.27880687094177453</v>
      </c>
      <c r="S13" s="10"/>
      <c r="U13" s="10"/>
      <c r="V13" s="10"/>
      <c r="W13" s="10"/>
      <c r="X13" s="10"/>
      <c r="Y13" s="10"/>
      <c r="Z13" s="10"/>
      <c r="AA13" s="10"/>
      <c r="AB13" s="10"/>
    </row>
    <row r="14" spans="3:28" ht="12.75">
      <c r="C14" s="134"/>
      <c r="D14" s="134"/>
      <c r="E14" s="134"/>
      <c r="F14" s="134"/>
      <c r="G14" s="134"/>
      <c r="H14" s="134"/>
      <c r="I14" s="134"/>
      <c r="J14" s="325"/>
      <c r="S14" s="10"/>
      <c r="U14" s="10"/>
      <c r="V14" s="10"/>
      <c r="W14" s="10"/>
      <c r="X14" s="10"/>
      <c r="Y14" s="10"/>
      <c r="Z14" s="10"/>
      <c r="AA14" s="10"/>
      <c r="AB14" s="10"/>
    </row>
    <row r="15" spans="1:28" ht="12.75">
      <c r="A15" s="41" t="s">
        <v>18</v>
      </c>
      <c r="C15" s="90"/>
      <c r="D15" s="90"/>
      <c r="E15" s="90"/>
      <c r="F15" s="90"/>
      <c r="G15" s="90"/>
      <c r="H15" s="90"/>
      <c r="I15" s="90"/>
      <c r="J15" s="91"/>
      <c r="S15" s="10"/>
      <c r="U15" s="10"/>
      <c r="V15" s="10"/>
      <c r="W15" s="10"/>
      <c r="X15" s="10"/>
      <c r="Y15" s="10"/>
      <c r="Z15" s="10"/>
      <c r="AA15" s="10"/>
      <c r="AB15" s="10"/>
    </row>
    <row r="16" spans="2:28" ht="12.75">
      <c r="B16" s="10" t="s">
        <v>120</v>
      </c>
      <c r="C16" s="134">
        <v>0.245</v>
      </c>
      <c r="D16" s="134">
        <v>0.236</v>
      </c>
      <c r="E16" s="134">
        <v>0.241</v>
      </c>
      <c r="F16" s="134">
        <v>0.236</v>
      </c>
      <c r="G16" s="134">
        <v>0.243</v>
      </c>
      <c r="H16" s="134">
        <v>0.253</v>
      </c>
      <c r="I16" s="134">
        <v>0.241</v>
      </c>
      <c r="J16" s="325">
        <v>0.2592503408244974</v>
      </c>
      <c r="S16" s="10"/>
      <c r="U16" s="10"/>
      <c r="V16" s="10"/>
      <c r="W16" s="10"/>
      <c r="X16" s="10"/>
      <c r="Y16" s="10"/>
      <c r="Z16" s="10"/>
      <c r="AA16" s="10"/>
      <c r="AB16" s="10"/>
    </row>
    <row r="17" spans="2:28" ht="12.75">
      <c r="B17" s="10" t="s">
        <v>121</v>
      </c>
      <c r="C17" s="134">
        <v>0.146</v>
      </c>
      <c r="D17" s="134">
        <v>0.152</v>
      </c>
      <c r="E17" s="134">
        <v>0.166</v>
      </c>
      <c r="F17" s="134">
        <v>0.164</v>
      </c>
      <c r="G17" s="134">
        <v>0.161</v>
      </c>
      <c r="H17" s="134">
        <v>0.183</v>
      </c>
      <c r="I17" s="134">
        <v>0.183</v>
      </c>
      <c r="J17" s="325">
        <v>0.19947712297056097</v>
      </c>
      <c r="S17" s="10"/>
      <c r="U17" s="10"/>
      <c r="V17" s="10"/>
      <c r="W17" s="10"/>
      <c r="X17" s="10"/>
      <c r="Y17" s="10"/>
      <c r="Z17" s="10"/>
      <c r="AA17" s="10"/>
      <c r="AB17" s="10"/>
    </row>
    <row r="18" spans="2:28" ht="12.75">
      <c r="B18" s="10" t="s">
        <v>122</v>
      </c>
      <c r="C18" s="134">
        <v>0.372</v>
      </c>
      <c r="D18" s="134">
        <v>0.346</v>
      </c>
      <c r="E18" s="134">
        <v>0.343</v>
      </c>
      <c r="F18" s="134">
        <v>0.336</v>
      </c>
      <c r="G18" s="134">
        <v>0.36</v>
      </c>
      <c r="H18" s="134">
        <v>0.356</v>
      </c>
      <c r="I18" s="134">
        <v>0.325</v>
      </c>
      <c r="J18" s="325">
        <v>0.3455347421203682</v>
      </c>
      <c r="S18" s="10"/>
      <c r="U18" s="10"/>
      <c r="V18" s="10"/>
      <c r="W18" s="10"/>
      <c r="X18" s="10"/>
      <c r="Y18" s="10"/>
      <c r="Z18" s="10"/>
      <c r="AA18" s="10"/>
      <c r="AB18" s="10"/>
    </row>
    <row r="19" spans="3:28" ht="12.75">
      <c r="C19" s="90"/>
      <c r="D19" s="90"/>
      <c r="E19" s="90"/>
      <c r="F19" s="90"/>
      <c r="G19" s="90"/>
      <c r="H19" s="90"/>
      <c r="I19" s="90"/>
      <c r="J19" s="91"/>
      <c r="S19" s="10"/>
      <c r="U19" s="10"/>
      <c r="V19" s="10"/>
      <c r="W19" s="10"/>
      <c r="X19" s="10"/>
      <c r="Y19" s="10"/>
      <c r="Z19" s="10"/>
      <c r="AA19" s="10"/>
      <c r="AB19" s="10"/>
    </row>
    <row r="20" spans="1:28" ht="15.75">
      <c r="A20" s="41" t="s">
        <v>262</v>
      </c>
      <c r="C20" s="90"/>
      <c r="D20" s="90"/>
      <c r="E20" s="90"/>
      <c r="F20" s="90"/>
      <c r="G20" s="90"/>
      <c r="H20" s="90"/>
      <c r="I20" s="90"/>
      <c r="J20" s="91"/>
      <c r="S20" s="10"/>
      <c r="U20" s="10"/>
      <c r="V20" s="10"/>
      <c r="W20" s="10"/>
      <c r="X20" s="10"/>
      <c r="Y20" s="10"/>
      <c r="Z20" s="10"/>
      <c r="AA20" s="10"/>
      <c r="AB20" s="10"/>
    </row>
    <row r="21" spans="2:28" ht="12.75">
      <c r="B21" s="10" t="s">
        <v>120</v>
      </c>
      <c r="C21" s="134">
        <v>0.355</v>
      </c>
      <c r="D21" s="134">
        <v>0.347</v>
      </c>
      <c r="E21" s="134">
        <v>0.357</v>
      </c>
      <c r="F21" s="134">
        <v>0.393</v>
      </c>
      <c r="G21" s="134">
        <v>0.385</v>
      </c>
      <c r="H21" s="134">
        <v>0.346</v>
      </c>
      <c r="I21" s="134">
        <v>0.41</v>
      </c>
      <c r="J21" s="325">
        <v>0.4114751791815353</v>
      </c>
      <c r="S21" s="10"/>
      <c r="U21" s="10"/>
      <c r="V21" s="10"/>
      <c r="W21" s="10"/>
      <c r="X21" s="10"/>
      <c r="Y21" s="10"/>
      <c r="Z21" s="10"/>
      <c r="AA21" s="10"/>
      <c r="AB21" s="10"/>
    </row>
    <row r="22" spans="2:28" ht="12.75">
      <c r="B22" s="10" t="s">
        <v>121</v>
      </c>
      <c r="C22" s="134">
        <v>0.153</v>
      </c>
      <c r="D22" s="134">
        <v>0.156</v>
      </c>
      <c r="E22" s="134">
        <v>0.173</v>
      </c>
      <c r="F22" s="134">
        <v>0.18</v>
      </c>
      <c r="G22" s="134">
        <v>0.175</v>
      </c>
      <c r="H22" s="134">
        <v>0.173</v>
      </c>
      <c r="I22" s="134">
        <v>0.219</v>
      </c>
      <c r="J22" s="325">
        <v>0.18037262972335455</v>
      </c>
      <c r="S22" s="10"/>
      <c r="U22" s="10"/>
      <c r="V22" s="10"/>
      <c r="W22" s="10"/>
      <c r="X22" s="10"/>
      <c r="Y22" s="10"/>
      <c r="Z22" s="10"/>
      <c r="AA22" s="10"/>
      <c r="AB22" s="10"/>
    </row>
    <row r="23" spans="1:28" ht="12.75">
      <c r="A23" s="14"/>
      <c r="B23" s="10" t="s">
        <v>122</v>
      </c>
      <c r="C23" s="134">
        <v>0.488</v>
      </c>
      <c r="D23" s="134">
        <v>0.474</v>
      </c>
      <c r="E23" s="134">
        <v>0.478</v>
      </c>
      <c r="F23" s="134">
        <v>0.537</v>
      </c>
      <c r="G23" s="134">
        <v>0.529</v>
      </c>
      <c r="H23" s="134">
        <v>0.468</v>
      </c>
      <c r="I23" s="134">
        <v>0.547</v>
      </c>
      <c r="J23" s="325">
        <v>0.578783058689162</v>
      </c>
      <c r="S23" s="10"/>
      <c r="U23" s="10"/>
      <c r="V23" s="10"/>
      <c r="W23" s="10"/>
      <c r="X23" s="10"/>
      <c r="Y23" s="10"/>
      <c r="Z23" s="10"/>
      <c r="AA23" s="10"/>
      <c r="AB23" s="10"/>
    </row>
    <row r="24" spans="1:28" ht="12.75">
      <c r="A24" s="14"/>
      <c r="C24" s="134"/>
      <c r="D24" s="134"/>
      <c r="E24" s="134"/>
      <c r="F24" s="134"/>
      <c r="G24" s="134"/>
      <c r="H24" s="134"/>
      <c r="I24" s="134"/>
      <c r="J24" s="325"/>
      <c r="S24" s="10"/>
      <c r="U24" s="10"/>
      <c r="V24" s="10"/>
      <c r="W24" s="10"/>
      <c r="X24" s="10"/>
      <c r="Y24" s="10"/>
      <c r="Z24" s="10"/>
      <c r="AA24" s="10"/>
      <c r="AB24" s="10"/>
    </row>
    <row r="25" spans="1:28" ht="12.75">
      <c r="A25" s="41" t="s">
        <v>190</v>
      </c>
      <c r="C25" s="90"/>
      <c r="D25" s="90"/>
      <c r="E25" s="90"/>
      <c r="F25" s="90"/>
      <c r="G25" s="90"/>
      <c r="H25" s="90"/>
      <c r="I25" s="90"/>
      <c r="J25" s="91"/>
      <c r="S25" s="10"/>
      <c r="U25" s="10"/>
      <c r="V25" s="10"/>
      <c r="W25" s="10"/>
      <c r="X25" s="10"/>
      <c r="Y25" s="10"/>
      <c r="Z25" s="10"/>
      <c r="AA25" s="10"/>
      <c r="AB25" s="10"/>
    </row>
    <row r="26" spans="2:28" ht="12.75">
      <c r="B26" s="10" t="s">
        <v>120</v>
      </c>
      <c r="C26" s="134">
        <v>0.635091642215039</v>
      </c>
      <c r="D26" s="134">
        <v>0.41684333622707126</v>
      </c>
      <c r="E26" s="134">
        <v>0.4104284960467408</v>
      </c>
      <c r="F26" s="134">
        <v>0.43251362599249554</v>
      </c>
      <c r="G26" s="134">
        <v>0.45828269369438923</v>
      </c>
      <c r="H26" s="134">
        <v>0.4137016639648019</v>
      </c>
      <c r="I26" s="134">
        <v>0.395</v>
      </c>
      <c r="J26" s="325">
        <v>0.39186625888450277</v>
      </c>
      <c r="S26" s="10"/>
      <c r="U26" s="10"/>
      <c r="V26" s="10"/>
      <c r="W26" s="10"/>
      <c r="X26" s="10"/>
      <c r="Y26" s="10"/>
      <c r="Z26" s="10"/>
      <c r="AA26" s="10"/>
      <c r="AB26" s="10"/>
    </row>
    <row r="27" spans="2:28" ht="12.75">
      <c r="B27" s="10" t="s">
        <v>121</v>
      </c>
      <c r="C27" s="134">
        <v>0.08542486719657007</v>
      </c>
      <c r="D27" s="134">
        <v>0.07631012860196996</v>
      </c>
      <c r="E27" s="134">
        <v>0.08773118209689848</v>
      </c>
      <c r="F27" s="134">
        <v>0.09542968940109213</v>
      </c>
      <c r="G27" s="134">
        <v>0.09879646467576375</v>
      </c>
      <c r="H27" s="134">
        <v>0.09780127213298825</v>
      </c>
      <c r="I27" s="134">
        <v>0.116</v>
      </c>
      <c r="J27" s="325">
        <v>0.09980216306897188</v>
      </c>
      <c r="S27" s="10"/>
      <c r="U27" s="10"/>
      <c r="V27" s="10"/>
      <c r="W27" s="10"/>
      <c r="X27" s="10"/>
      <c r="Y27" s="10"/>
      <c r="Z27" s="10"/>
      <c r="AA27" s="10"/>
      <c r="AB27" s="10"/>
    </row>
    <row r="28" spans="1:28" ht="12.75">
      <c r="A28" s="14"/>
      <c r="B28" s="10" t="s">
        <v>122</v>
      </c>
      <c r="C28" s="134">
        <v>0.7017026287807739</v>
      </c>
      <c r="D28" s="134">
        <v>0.46109588660057166</v>
      </c>
      <c r="E28" s="134">
        <v>0.4510215779696649</v>
      </c>
      <c r="F28" s="134">
        <v>0.4752024551507991</v>
      </c>
      <c r="G28" s="134">
        <v>0.5043005370937468</v>
      </c>
      <c r="H28" s="134">
        <v>0.4542086256126136</v>
      </c>
      <c r="I28" s="134">
        <v>0.43</v>
      </c>
      <c r="J28" s="325">
        <v>0.4275937753980176</v>
      </c>
      <c r="S28" s="10"/>
      <c r="U28" s="10"/>
      <c r="V28" s="10"/>
      <c r="W28" s="10"/>
      <c r="X28" s="10"/>
      <c r="Y28" s="10"/>
      <c r="Z28" s="10"/>
      <c r="AA28" s="10"/>
      <c r="AB28" s="10"/>
    </row>
    <row r="29" spans="1:28" ht="12.75">
      <c r="A29" s="14"/>
      <c r="C29" s="134"/>
      <c r="D29" s="134"/>
      <c r="E29" s="134"/>
      <c r="F29" s="134"/>
      <c r="G29" s="134"/>
      <c r="H29" s="134"/>
      <c r="I29" s="134"/>
      <c r="J29" s="325"/>
      <c r="S29" s="10"/>
      <c r="U29" s="10"/>
      <c r="V29" s="10"/>
      <c r="W29" s="10"/>
      <c r="X29" s="10"/>
      <c r="Y29" s="10"/>
      <c r="Z29" s="10"/>
      <c r="AA29" s="10"/>
      <c r="AB29" s="10"/>
    </row>
    <row r="30" spans="1:28" ht="12.75">
      <c r="A30" s="41" t="s">
        <v>116</v>
      </c>
      <c r="C30" s="90"/>
      <c r="D30" s="90"/>
      <c r="E30" s="90"/>
      <c r="F30" s="90"/>
      <c r="G30" s="90"/>
      <c r="H30" s="90"/>
      <c r="I30" s="90"/>
      <c r="J30" s="91"/>
      <c r="S30" s="10"/>
      <c r="U30" s="10"/>
      <c r="V30" s="10"/>
      <c r="W30" s="10"/>
      <c r="X30" s="10"/>
      <c r="Y30" s="10"/>
      <c r="Z30" s="10"/>
      <c r="AA30" s="10"/>
      <c r="AB30" s="10"/>
    </row>
    <row r="31" spans="2:28" ht="12.75">
      <c r="B31" s="10" t="s">
        <v>120</v>
      </c>
      <c r="C31" s="134">
        <v>0.4138445865808832</v>
      </c>
      <c r="D31" s="134">
        <v>0.4661914733593604</v>
      </c>
      <c r="E31" s="134">
        <v>0.3998900317043112</v>
      </c>
      <c r="F31" s="134">
        <v>0.3191126713656781</v>
      </c>
      <c r="G31" s="134">
        <v>0.321836097343647</v>
      </c>
      <c r="H31" s="134">
        <v>0.2875321340622606</v>
      </c>
      <c r="I31" s="134">
        <v>0.252</v>
      </c>
      <c r="J31" s="325">
        <v>0.26325312588476696</v>
      </c>
      <c r="S31" s="10"/>
      <c r="U31" s="10"/>
      <c r="V31" s="10"/>
      <c r="W31" s="10"/>
      <c r="X31" s="10"/>
      <c r="Y31" s="10"/>
      <c r="Z31" s="10"/>
      <c r="AA31" s="10"/>
      <c r="AB31" s="10"/>
    </row>
    <row r="32" spans="2:28" ht="12.75">
      <c r="B32" s="10" t="s">
        <v>121</v>
      </c>
      <c r="C32" s="134">
        <v>0.38747179288023437</v>
      </c>
      <c r="D32" s="134">
        <v>0.38471796670978836</v>
      </c>
      <c r="E32" s="134">
        <v>0.3542936666368524</v>
      </c>
      <c r="F32" s="134">
        <v>0.341855746517461</v>
      </c>
      <c r="G32" s="134">
        <v>0.3075726047978045</v>
      </c>
      <c r="H32" s="134">
        <v>0.29695987254321227</v>
      </c>
      <c r="I32" s="134">
        <v>0.272</v>
      </c>
      <c r="J32" s="325">
        <v>0.2528591305208292</v>
      </c>
      <c r="S32" s="10"/>
      <c r="U32" s="10"/>
      <c r="V32" s="10"/>
      <c r="W32" s="10"/>
      <c r="X32" s="10"/>
      <c r="Y32" s="10"/>
      <c r="Z32" s="10"/>
      <c r="AA32" s="10"/>
      <c r="AB32" s="10"/>
    </row>
    <row r="33" spans="1:28" ht="12.75">
      <c r="A33" s="14"/>
      <c r="B33" s="10" t="s">
        <v>122</v>
      </c>
      <c r="C33" s="134">
        <v>0.4173205622188495</v>
      </c>
      <c r="D33" s="134">
        <v>0.47591218894136333</v>
      </c>
      <c r="E33" s="134">
        <v>0.4050301217308636</v>
      </c>
      <c r="F33" s="134">
        <v>0.31673270117720825</v>
      </c>
      <c r="G33" s="134">
        <v>0.3232166139791508</v>
      </c>
      <c r="H33" s="134">
        <v>0.28669168660460986</v>
      </c>
      <c r="I33" s="134">
        <v>0.25</v>
      </c>
      <c r="J33" s="325">
        <v>0.2640412388111597</v>
      </c>
      <c r="S33" s="10"/>
      <c r="U33" s="10"/>
      <c r="V33" s="10"/>
      <c r="W33" s="10"/>
      <c r="X33" s="10"/>
      <c r="Y33" s="10"/>
      <c r="Z33" s="10"/>
      <c r="AA33" s="10"/>
      <c r="AB33" s="10"/>
    </row>
    <row r="34" spans="1:28" ht="12.75">
      <c r="A34" s="14"/>
      <c r="C34" s="134"/>
      <c r="D34" s="134"/>
      <c r="E34" s="134"/>
      <c r="F34" s="134"/>
      <c r="G34" s="134"/>
      <c r="H34" s="134"/>
      <c r="I34" s="134"/>
      <c r="J34" s="134"/>
      <c r="S34" s="10"/>
      <c r="U34" s="10"/>
      <c r="V34" s="10"/>
      <c r="W34" s="10"/>
      <c r="X34" s="10"/>
      <c r="Y34" s="10"/>
      <c r="Z34" s="10"/>
      <c r="AA34" s="10"/>
      <c r="AB34" s="10"/>
    </row>
    <row r="35" spans="1:28" ht="12.75">
      <c r="A35" s="9" t="s">
        <v>96</v>
      </c>
      <c r="B35" s="41"/>
      <c r="C35" s="90"/>
      <c r="D35" s="90"/>
      <c r="E35" s="90"/>
      <c r="F35" s="90"/>
      <c r="G35" s="90"/>
      <c r="H35" s="90"/>
      <c r="I35" s="10"/>
      <c r="J35" s="10"/>
      <c r="S35" s="10"/>
      <c r="U35" s="10"/>
      <c r="V35" s="10"/>
      <c r="W35" s="10"/>
      <c r="X35" s="10"/>
      <c r="Y35" s="10"/>
      <c r="Z35" s="10"/>
      <c r="AA35" s="10"/>
      <c r="AB35" s="10"/>
    </row>
    <row r="36" spans="1:28" ht="12.75">
      <c r="A36" s="47" t="s">
        <v>99</v>
      </c>
      <c r="B36" s="271" t="s">
        <v>244</v>
      </c>
      <c r="C36" s="287"/>
      <c r="D36" s="287"/>
      <c r="E36" s="287"/>
      <c r="F36" s="287"/>
      <c r="G36" s="287"/>
      <c r="H36" s="287"/>
      <c r="I36" s="287"/>
      <c r="J36" s="287"/>
      <c r="S36" s="10"/>
      <c r="U36" s="10"/>
      <c r="V36" s="10"/>
      <c r="W36" s="10"/>
      <c r="X36" s="10"/>
      <c r="Y36" s="10"/>
      <c r="Z36" s="10"/>
      <c r="AA36" s="10"/>
      <c r="AB36" s="10"/>
    </row>
  </sheetData>
  <printOptions/>
  <pageMargins left="0.7480314960629921" right="0.7480314960629921" top="0.984251968503937" bottom="0.984251968503937" header="0.5118110236220472" footer="0.5118110236220472"/>
  <pageSetup fitToHeight="1" fitToWidth="1" horizontalDpi="600" verticalDpi="600" orientation="portrait" paperSize="8" r:id="rId1"/>
  <headerFooter alignWithMargins="0">
    <oddHeader>&amp;L&amp;"Vodafone Rg,Regular"Vodafone Group Plc&amp;C&amp;"Vodafone Rg,Regular"&amp;A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Vodafone GP&amp;S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berrya</dc:creator>
  <cp:keywords/>
  <dc:description/>
  <cp:lastModifiedBy>Karl Slootweg</cp:lastModifiedBy>
  <cp:lastPrinted>2009-07-21T08:10:45Z</cp:lastPrinted>
  <dcterms:created xsi:type="dcterms:W3CDTF">2008-02-20T08:46:25Z</dcterms:created>
  <dcterms:modified xsi:type="dcterms:W3CDTF">2010-11-03T15:25:36Z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